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ct_Admin\Papers fellowship\The published ones\Minuta lipid\Data for archive\"/>
    </mc:Choice>
  </mc:AlternateContent>
  <bookViews>
    <workbookView xWindow="0" yWindow="0" windowWidth="24000" windowHeight="9735" tabRatio="710" firstSheet="1" activeTab="1"/>
  </bookViews>
  <sheets>
    <sheet name="R. glutinis data" sheetId="2" r:id="rId1"/>
    <sheet name="R. minuta data" sheetId="1" r:id="rId2"/>
    <sheet name="R. min graphs" sheetId="5" r:id="rId3"/>
    <sheet name="R. min kinetics" sheetId="9" r:id="rId4"/>
  </sheets>
  <calcPr calcId="152511"/>
</workbook>
</file>

<file path=xl/calcChain.xml><?xml version="1.0" encoding="utf-8"?>
<calcChain xmlns="http://schemas.openxmlformats.org/spreadsheetml/2006/main">
  <c r="G71" i="9" l="1"/>
  <c r="G70" i="9"/>
  <c r="G69" i="9"/>
  <c r="G68" i="9"/>
  <c r="G67" i="9"/>
  <c r="G66" i="9"/>
  <c r="E71" i="9"/>
  <c r="E70" i="9"/>
  <c r="E69" i="9"/>
  <c r="E68" i="9"/>
  <c r="E67" i="9"/>
  <c r="E66" i="9"/>
  <c r="G62" i="9"/>
  <c r="G61" i="9"/>
  <c r="G60" i="9"/>
  <c r="G59" i="9"/>
  <c r="G58" i="9"/>
  <c r="G57" i="9"/>
  <c r="E62" i="9"/>
  <c r="E61" i="9"/>
  <c r="E60" i="9"/>
  <c r="E59" i="9"/>
  <c r="E58" i="9"/>
  <c r="E57" i="9"/>
  <c r="G53" i="9"/>
  <c r="G52" i="9"/>
  <c r="G51" i="9"/>
  <c r="G50" i="9"/>
  <c r="G49" i="9"/>
  <c r="G48" i="9"/>
  <c r="E53" i="9"/>
  <c r="E52" i="9"/>
  <c r="E51" i="9"/>
  <c r="E50" i="9"/>
  <c r="E49" i="9"/>
  <c r="E48" i="9"/>
  <c r="G35" i="9"/>
  <c r="G34" i="9"/>
  <c r="G33" i="9"/>
  <c r="G32" i="9"/>
  <c r="G31" i="9"/>
  <c r="G30" i="9"/>
  <c r="E35" i="9"/>
  <c r="E34" i="9"/>
  <c r="E33" i="9"/>
  <c r="E32" i="9"/>
  <c r="E31" i="9"/>
  <c r="E30" i="9"/>
  <c r="G25" i="9"/>
  <c r="G24" i="9"/>
  <c r="G23" i="9"/>
  <c r="G22" i="9"/>
  <c r="G21" i="9"/>
  <c r="G20" i="9"/>
  <c r="E25" i="9"/>
  <c r="E24" i="9"/>
  <c r="E23" i="9"/>
  <c r="E22" i="9"/>
  <c r="E21" i="9"/>
  <c r="E20" i="9"/>
  <c r="K16" i="9"/>
  <c r="I16" i="9"/>
  <c r="G16" i="9"/>
  <c r="E16" i="9"/>
  <c r="C16" i="9"/>
  <c r="K15" i="9"/>
  <c r="I15" i="9"/>
  <c r="G15" i="9"/>
  <c r="E15" i="9"/>
  <c r="C15" i="9"/>
  <c r="K14" i="9"/>
  <c r="I14" i="9"/>
  <c r="G14" i="9"/>
  <c r="E14" i="9"/>
  <c r="C14" i="9"/>
  <c r="K13" i="9"/>
  <c r="I13" i="9"/>
  <c r="G13" i="9"/>
  <c r="E13" i="9"/>
  <c r="C13" i="9"/>
  <c r="K12" i="9"/>
  <c r="I12" i="9"/>
  <c r="G12" i="9"/>
  <c r="E12" i="9"/>
  <c r="C12" i="9"/>
  <c r="K11" i="9"/>
  <c r="I11" i="9"/>
  <c r="G11" i="9"/>
  <c r="E11" i="9"/>
  <c r="C11" i="9"/>
  <c r="K8" i="9"/>
  <c r="I8" i="9"/>
  <c r="G8" i="9"/>
  <c r="E8" i="9"/>
  <c r="C8" i="9"/>
  <c r="K7" i="9"/>
  <c r="I7" i="9"/>
  <c r="G7" i="9"/>
  <c r="E7" i="9"/>
  <c r="C7" i="9"/>
  <c r="K6" i="9"/>
  <c r="I6" i="9"/>
  <c r="G6" i="9"/>
  <c r="E6" i="9"/>
  <c r="C6" i="9"/>
  <c r="K5" i="9"/>
  <c r="I5" i="9"/>
  <c r="G5" i="9"/>
  <c r="E5" i="9"/>
  <c r="C5" i="9"/>
  <c r="K4" i="9"/>
  <c r="I4" i="9"/>
  <c r="G4" i="9"/>
  <c r="E4" i="9"/>
  <c r="C4" i="9"/>
  <c r="K3" i="9"/>
  <c r="I3" i="9"/>
  <c r="G3" i="9"/>
  <c r="E3" i="9"/>
  <c r="C3" i="9"/>
  <c r="F5" i="1" l="1"/>
  <c r="F6" i="1"/>
  <c r="F7" i="1"/>
  <c r="F8" i="1"/>
  <c r="F4" i="1"/>
  <c r="E5" i="1"/>
  <c r="E6" i="1"/>
  <c r="E7" i="1"/>
  <c r="E8" i="1"/>
  <c r="E4" i="1"/>
  <c r="Q25" i="2"/>
  <c r="Q15" i="2"/>
  <c r="M25" i="1"/>
  <c r="W26" i="1"/>
  <c r="S28" i="1"/>
  <c r="S18" i="1"/>
  <c r="N14" i="1"/>
  <c r="AC47" i="1"/>
  <c r="AA45" i="1"/>
  <c r="AA44" i="1"/>
  <c r="W46" i="1"/>
  <c r="V46" i="1"/>
  <c r="V48" i="1"/>
  <c r="S45" i="1"/>
  <c r="S47" i="1"/>
  <c r="S48" i="1"/>
  <c r="Q45" i="1"/>
  <c r="Q44" i="1"/>
  <c r="N45" i="1"/>
  <c r="N47" i="1"/>
  <c r="M45" i="1"/>
  <c r="L47" i="1"/>
  <c r="L44" i="1"/>
  <c r="I46" i="1"/>
  <c r="I44" i="1"/>
  <c r="G46" i="1"/>
  <c r="G48" i="1"/>
  <c r="C44" i="1"/>
  <c r="B44" i="1"/>
  <c r="AC36" i="1"/>
  <c r="AC38" i="1"/>
  <c r="AC34" i="1"/>
  <c r="X35" i="1"/>
  <c r="X37" i="1"/>
  <c r="V35" i="1"/>
  <c r="V37" i="1"/>
  <c r="V34" i="1"/>
  <c r="S38" i="1"/>
  <c r="Q36" i="1"/>
  <c r="N34" i="1"/>
  <c r="L35" i="1"/>
  <c r="L37" i="1"/>
  <c r="L34" i="1"/>
  <c r="I36" i="1"/>
  <c r="I38" i="1"/>
  <c r="I34" i="1"/>
  <c r="G36" i="1"/>
  <c r="D35" i="1"/>
  <c r="D37" i="1"/>
  <c r="B35" i="1"/>
  <c r="B37" i="1"/>
  <c r="AA28" i="1"/>
  <c r="AA48" i="1" s="1"/>
  <c r="AA27" i="1"/>
  <c r="AA47" i="1" s="1"/>
  <c r="AA26" i="1"/>
  <c r="AA46" i="1" s="1"/>
  <c r="AA25" i="1"/>
  <c r="AA24" i="1"/>
  <c r="AA18" i="1"/>
  <c r="AA38" i="1" s="1"/>
  <c r="AA17" i="1"/>
  <c r="AA37" i="1" s="1"/>
  <c r="AA16" i="1"/>
  <c r="AA36" i="1" s="1"/>
  <c r="AA15" i="1"/>
  <c r="AA35" i="1" s="1"/>
  <c r="AA14" i="1"/>
  <c r="AA34" i="1" s="1"/>
  <c r="V28" i="1"/>
  <c r="V27" i="1"/>
  <c r="V47" i="1" s="1"/>
  <c r="V26" i="1"/>
  <c r="V25" i="1"/>
  <c r="V45" i="1" s="1"/>
  <c r="V24" i="1"/>
  <c r="V44" i="1" s="1"/>
  <c r="V18" i="1"/>
  <c r="V38" i="1" s="1"/>
  <c r="V17" i="1"/>
  <c r="V16" i="1"/>
  <c r="V36" i="1" s="1"/>
  <c r="V15" i="1"/>
  <c r="V14" i="1"/>
  <c r="Q28" i="1"/>
  <c r="Q48" i="1" s="1"/>
  <c r="Q27" i="1"/>
  <c r="Q47" i="1" s="1"/>
  <c r="Q26" i="1"/>
  <c r="Q46" i="1" s="1"/>
  <c r="Q25" i="1"/>
  <c r="Q24" i="1"/>
  <c r="Q18" i="1"/>
  <c r="Q38" i="1" s="1"/>
  <c r="Q17" i="1"/>
  <c r="Q37" i="1" s="1"/>
  <c r="Q16" i="1"/>
  <c r="Q15" i="1"/>
  <c r="Q35" i="1" s="1"/>
  <c r="Q14" i="1"/>
  <c r="Q34" i="1" s="1"/>
  <c r="L28" i="1"/>
  <c r="L48" i="1" s="1"/>
  <c r="L27" i="1"/>
  <c r="L26" i="1"/>
  <c r="L46" i="1" s="1"/>
  <c r="L25" i="1"/>
  <c r="L45" i="1" s="1"/>
  <c r="P45" i="1" s="1"/>
  <c r="L24" i="1"/>
  <c r="L18" i="1"/>
  <c r="L38" i="1" s="1"/>
  <c r="L17" i="1"/>
  <c r="L16" i="1"/>
  <c r="L36" i="1" s="1"/>
  <c r="L15" i="1"/>
  <c r="L14" i="1"/>
  <c r="G28" i="1"/>
  <c r="G27" i="1"/>
  <c r="G47" i="1" s="1"/>
  <c r="G26" i="1"/>
  <c r="G25" i="1"/>
  <c r="G45" i="1" s="1"/>
  <c r="G24" i="1"/>
  <c r="G44" i="1" s="1"/>
  <c r="G18" i="1"/>
  <c r="G38" i="1" s="1"/>
  <c r="G17" i="1"/>
  <c r="G37" i="1" s="1"/>
  <c r="G16" i="1"/>
  <c r="G15" i="1"/>
  <c r="G35" i="1" s="1"/>
  <c r="G14" i="1"/>
  <c r="G34" i="1" s="1"/>
  <c r="B28" i="1"/>
  <c r="B48" i="1" s="1"/>
  <c r="B27" i="1"/>
  <c r="B47" i="1" s="1"/>
  <c r="B26" i="1"/>
  <c r="B46" i="1" s="1"/>
  <c r="B25" i="1"/>
  <c r="B45" i="1" s="1"/>
  <c r="B24" i="1"/>
  <c r="B18" i="1"/>
  <c r="B38" i="1" s="1"/>
  <c r="B17" i="1"/>
  <c r="B16" i="1"/>
  <c r="B36" i="1" s="1"/>
  <c r="B15" i="1"/>
  <c r="B14" i="1"/>
  <c r="B34" i="1" s="1"/>
  <c r="S25" i="1"/>
  <c r="S15" i="1"/>
  <c r="S35" i="1" s="1"/>
  <c r="S26" i="1"/>
  <c r="S46" i="1" s="1"/>
  <c r="S16" i="1"/>
  <c r="S36" i="1" s="1"/>
  <c r="S27" i="1"/>
  <c r="S17" i="1"/>
  <c r="S37" i="1" s="1"/>
  <c r="S24" i="1"/>
  <c r="S44" i="1" s="1"/>
  <c r="S14" i="1"/>
  <c r="S34" i="1" s="1"/>
  <c r="N25" i="1"/>
  <c r="N15" i="1"/>
  <c r="N35" i="1" s="1"/>
  <c r="N26" i="1"/>
  <c r="N46" i="1" s="1"/>
  <c r="N16" i="1"/>
  <c r="N36" i="1" s="1"/>
  <c r="N27" i="1"/>
  <c r="N17" i="1"/>
  <c r="N37" i="1" s="1"/>
  <c r="N24" i="1"/>
  <c r="N44" i="1" s="1"/>
  <c r="N28" i="1"/>
  <c r="N48" i="1" s="1"/>
  <c r="N18" i="1"/>
  <c r="N38" i="1" s="1"/>
  <c r="I25" i="1"/>
  <c r="I45" i="1" s="1"/>
  <c r="I15" i="1"/>
  <c r="I35" i="1" s="1"/>
  <c r="I26" i="1"/>
  <c r="I16" i="1"/>
  <c r="I27" i="1"/>
  <c r="I47" i="1" s="1"/>
  <c r="I17" i="1"/>
  <c r="I37" i="1" s="1"/>
  <c r="I24" i="1"/>
  <c r="I14" i="1"/>
  <c r="I28" i="1"/>
  <c r="I48" i="1" s="1"/>
  <c r="I18" i="1"/>
  <c r="AC25" i="1"/>
  <c r="AC45" i="1" s="1"/>
  <c r="AC15" i="1"/>
  <c r="AC35" i="1" s="1"/>
  <c r="AC26" i="1"/>
  <c r="AC46" i="1" s="1"/>
  <c r="AC16" i="1"/>
  <c r="AC27" i="1"/>
  <c r="AC17" i="1"/>
  <c r="AC37" i="1" s="1"/>
  <c r="AC24" i="1"/>
  <c r="AC44" i="1" s="1"/>
  <c r="AC14" i="1"/>
  <c r="X25" i="1"/>
  <c r="X45" i="1" s="1"/>
  <c r="X15" i="1"/>
  <c r="X26" i="1"/>
  <c r="X46" i="1" s="1"/>
  <c r="X16" i="1"/>
  <c r="X36" i="1" s="1"/>
  <c r="X27" i="1"/>
  <c r="X47" i="1" s="1"/>
  <c r="X17" i="1"/>
  <c r="X24" i="1"/>
  <c r="X44" i="1" s="1"/>
  <c r="X14" i="1"/>
  <c r="X34" i="1" s="1"/>
  <c r="X28" i="1"/>
  <c r="X48" i="1" s="1"/>
  <c r="X18" i="1"/>
  <c r="X38" i="1" s="1"/>
  <c r="D25" i="1"/>
  <c r="D45" i="1" s="1"/>
  <c r="D15" i="1"/>
  <c r="D26" i="1"/>
  <c r="D46" i="1" s="1"/>
  <c r="D16" i="1"/>
  <c r="D36" i="1" s="1"/>
  <c r="D27" i="1"/>
  <c r="D47" i="1" s="1"/>
  <c r="D17" i="1"/>
  <c r="D28" i="1"/>
  <c r="D48" i="1" s="1"/>
  <c r="D18" i="1"/>
  <c r="D38" i="1" s="1"/>
  <c r="D24" i="1"/>
  <c r="D44" i="1" s="1"/>
  <c r="F44" i="1" s="1"/>
  <c r="D14" i="1"/>
  <c r="D34" i="1" s="1"/>
  <c r="AC28" i="1"/>
  <c r="AC48" i="1" s="1"/>
  <c r="AC18" i="1"/>
  <c r="F5" i="2"/>
  <c r="F6" i="2"/>
  <c r="F7" i="2"/>
  <c r="F8" i="2"/>
  <c r="F4" i="2"/>
  <c r="E5" i="2"/>
  <c r="E6" i="2"/>
  <c r="E7" i="2"/>
  <c r="E8" i="2"/>
  <c r="E4" i="2"/>
  <c r="G45" i="2"/>
  <c r="C45" i="2"/>
  <c r="O45" i="1" l="1"/>
  <c r="Y46" i="1"/>
  <c r="Z46" i="1"/>
  <c r="E44" i="1"/>
  <c r="K49" i="2" l="1"/>
  <c r="AA28" i="2"/>
  <c r="AA49" i="2" s="1"/>
  <c r="AD49" i="2" s="1"/>
  <c r="AA27" i="2"/>
  <c r="AA48" i="2" s="1"/>
  <c r="AA26" i="2"/>
  <c r="AA47" i="2" s="1"/>
  <c r="AA25" i="2"/>
  <c r="AA46" i="2" s="1"/>
  <c r="AA24" i="2"/>
  <c r="AA45" i="2" s="1"/>
  <c r="AA18" i="2"/>
  <c r="AA39" i="2" s="1"/>
  <c r="AD39" i="2" s="1"/>
  <c r="AA17" i="2"/>
  <c r="AA38" i="2" s="1"/>
  <c r="AA16" i="2"/>
  <c r="AA37" i="2" s="1"/>
  <c r="AA15" i="2"/>
  <c r="AA36" i="2" s="1"/>
  <c r="AA14" i="2"/>
  <c r="V28" i="2"/>
  <c r="V49" i="2" s="1"/>
  <c r="V27" i="2"/>
  <c r="V48" i="2" s="1"/>
  <c r="V26" i="2"/>
  <c r="V47" i="2" s="1"/>
  <c r="V25" i="2"/>
  <c r="V46" i="2" s="1"/>
  <c r="V24" i="2"/>
  <c r="V45" i="2" s="1"/>
  <c r="V18" i="2"/>
  <c r="V39" i="2" s="1"/>
  <c r="V17" i="2"/>
  <c r="V38" i="2" s="1"/>
  <c r="V16" i="2"/>
  <c r="V37" i="2" s="1"/>
  <c r="V15" i="2"/>
  <c r="V36" i="2" s="1"/>
  <c r="V14" i="2"/>
  <c r="V35" i="2" s="1"/>
  <c r="Q28" i="2"/>
  <c r="Q49" i="2" s="1"/>
  <c r="T49" i="2" s="1"/>
  <c r="Q27" i="2"/>
  <c r="Q48" i="2" s="1"/>
  <c r="Q26" i="2"/>
  <c r="Q47" i="2" s="1"/>
  <c r="Q46" i="2"/>
  <c r="Q24" i="2"/>
  <c r="Q45" i="2" s="1"/>
  <c r="Q18" i="2"/>
  <c r="Q39" i="2" s="1"/>
  <c r="Q17" i="2"/>
  <c r="Q38" i="2" s="1"/>
  <c r="Q16" i="2"/>
  <c r="Q37" i="2" s="1"/>
  <c r="Q14" i="2"/>
  <c r="Q35" i="2" s="1"/>
  <c r="L28" i="2"/>
  <c r="L49" i="2" s="1"/>
  <c r="L27" i="2"/>
  <c r="L48" i="2" s="1"/>
  <c r="P48" i="2" s="1"/>
  <c r="L26" i="2"/>
  <c r="L47" i="2" s="1"/>
  <c r="L25" i="2"/>
  <c r="L46" i="2" s="1"/>
  <c r="L24" i="2"/>
  <c r="L45" i="2" s="1"/>
  <c r="L18" i="2"/>
  <c r="L39" i="2" s="1"/>
  <c r="L17" i="2"/>
  <c r="L38" i="2" s="1"/>
  <c r="L16" i="2"/>
  <c r="L37" i="2" s="1"/>
  <c r="L15" i="2"/>
  <c r="L36" i="2" s="1"/>
  <c r="L14" i="2"/>
  <c r="L35" i="2" s="1"/>
  <c r="G28" i="2"/>
  <c r="G49" i="2" s="1"/>
  <c r="G27" i="2"/>
  <c r="G48" i="2" s="1"/>
  <c r="G26" i="2"/>
  <c r="G47" i="2" s="1"/>
  <c r="G25" i="2"/>
  <c r="G46" i="2" s="1"/>
  <c r="J46" i="2" s="1"/>
  <c r="G18" i="2"/>
  <c r="G39" i="2" s="1"/>
  <c r="G17" i="2"/>
  <c r="G38" i="2" s="1"/>
  <c r="G16" i="2"/>
  <c r="G37" i="2" s="1"/>
  <c r="G15" i="2"/>
  <c r="G36" i="2" s="1"/>
  <c r="G14" i="2"/>
  <c r="G35" i="2" s="1"/>
  <c r="C28" i="1"/>
  <c r="C48" i="1" s="1"/>
  <c r="C18" i="1"/>
  <c r="C38" i="1" s="1"/>
  <c r="C14" i="1"/>
  <c r="C34" i="1" s="1"/>
  <c r="C27" i="1"/>
  <c r="C47" i="1" s="1"/>
  <c r="C17" i="1"/>
  <c r="C37" i="1" s="1"/>
  <c r="C26" i="1"/>
  <c r="C46" i="1" s="1"/>
  <c r="C16" i="1"/>
  <c r="C36" i="1" s="1"/>
  <c r="C25" i="1"/>
  <c r="C45" i="1" s="1"/>
  <c r="C15" i="1"/>
  <c r="C35" i="1" s="1"/>
  <c r="W28" i="1"/>
  <c r="W48" i="1" s="1"/>
  <c r="W18" i="1"/>
  <c r="W38" i="1" s="1"/>
  <c r="W24" i="1"/>
  <c r="W44" i="1" s="1"/>
  <c r="W14" i="1"/>
  <c r="W34" i="1" s="1"/>
  <c r="W27" i="1"/>
  <c r="W47" i="1" s="1"/>
  <c r="W17" i="1"/>
  <c r="W37" i="1" s="1"/>
  <c r="W16" i="1"/>
  <c r="W36" i="1" s="1"/>
  <c r="W25" i="1"/>
  <c r="W45" i="1" s="1"/>
  <c r="W15" i="1"/>
  <c r="W35" i="1" s="1"/>
  <c r="AB24" i="1"/>
  <c r="AB44" i="1" s="1"/>
  <c r="AB14" i="1"/>
  <c r="AB34" i="1" s="1"/>
  <c r="AB27" i="1"/>
  <c r="AB47" i="1" s="1"/>
  <c r="AB17" i="1"/>
  <c r="AB37" i="1" s="1"/>
  <c r="AB26" i="1"/>
  <c r="AB46" i="1" s="1"/>
  <c r="AB16" i="1"/>
  <c r="AB36" i="1" s="1"/>
  <c r="AB25" i="1"/>
  <c r="AB45" i="1" s="1"/>
  <c r="AB15" i="1"/>
  <c r="AB35" i="1" s="1"/>
  <c r="H28" i="1"/>
  <c r="H48" i="1" s="1"/>
  <c r="H18" i="1"/>
  <c r="H38" i="1" s="1"/>
  <c r="H24" i="1"/>
  <c r="H44" i="1" s="1"/>
  <c r="H14" i="1"/>
  <c r="H34" i="1" s="1"/>
  <c r="H27" i="1"/>
  <c r="H47" i="1" s="1"/>
  <c r="H17" i="1"/>
  <c r="H37" i="1" s="1"/>
  <c r="H26" i="1"/>
  <c r="H46" i="1" s="1"/>
  <c r="H16" i="1"/>
  <c r="H36" i="1" s="1"/>
  <c r="H25" i="1"/>
  <c r="H45" i="1" s="1"/>
  <c r="H15" i="1"/>
  <c r="H35" i="1" s="1"/>
  <c r="M26" i="1"/>
  <c r="M46" i="1" s="1"/>
  <c r="M16" i="1"/>
  <c r="M36" i="1" s="1"/>
  <c r="M28" i="1"/>
  <c r="M48" i="1" s="1"/>
  <c r="M18" i="1"/>
  <c r="M38" i="1" s="1"/>
  <c r="M24" i="1"/>
  <c r="M44" i="1" s="1"/>
  <c r="M14" i="1"/>
  <c r="M34" i="1" s="1"/>
  <c r="M27" i="1"/>
  <c r="M47" i="1" s="1"/>
  <c r="M17" i="1"/>
  <c r="M37" i="1" s="1"/>
  <c r="M15" i="1"/>
  <c r="M35" i="1" s="1"/>
  <c r="R28" i="1"/>
  <c r="R48" i="1" s="1"/>
  <c r="R18" i="1"/>
  <c r="R38" i="1" s="1"/>
  <c r="R24" i="1"/>
  <c r="R44" i="1" s="1"/>
  <c r="R14" i="1"/>
  <c r="R34" i="1" s="1"/>
  <c r="R26" i="1"/>
  <c r="R46" i="1" s="1"/>
  <c r="R16" i="1"/>
  <c r="R36" i="1" s="1"/>
  <c r="R25" i="1"/>
  <c r="R45" i="1" s="1"/>
  <c r="R15" i="1"/>
  <c r="R35" i="1" s="1"/>
  <c r="AB25" i="2"/>
  <c r="AB46" i="2" s="1"/>
  <c r="AB15" i="2"/>
  <c r="AB36" i="2" s="1"/>
  <c r="AB26" i="2"/>
  <c r="AB47" i="2" s="1"/>
  <c r="AB16" i="2"/>
  <c r="AB37" i="2" s="1"/>
  <c r="AB27" i="2"/>
  <c r="AB48" i="2" s="1"/>
  <c r="AB17" i="2"/>
  <c r="AB38" i="2" s="1"/>
  <c r="AC25" i="2"/>
  <c r="AC46" i="2" s="1"/>
  <c r="AC15" i="2"/>
  <c r="AC36" i="2" s="1"/>
  <c r="AB28" i="2"/>
  <c r="AB49" i="2" s="1"/>
  <c r="AB18" i="2"/>
  <c r="AB39" i="2" s="1"/>
  <c r="AE39" i="2" s="1"/>
  <c r="W27" i="2"/>
  <c r="W48" i="2" s="1"/>
  <c r="W17" i="2"/>
  <c r="W38" i="2" s="1"/>
  <c r="W26" i="2"/>
  <c r="W47" i="2" s="1"/>
  <c r="W16" i="2"/>
  <c r="W37" i="2" s="1"/>
  <c r="S24" i="2"/>
  <c r="S45" i="2" s="1"/>
  <c r="S14" i="2"/>
  <c r="S35" i="2" s="1"/>
  <c r="S28" i="2"/>
  <c r="S49" i="2" s="1"/>
  <c r="S18" i="2"/>
  <c r="S39" i="2" s="1"/>
  <c r="S27" i="2"/>
  <c r="S48" i="2" s="1"/>
  <c r="S17" i="2"/>
  <c r="S38" i="2" s="1"/>
  <c r="S25" i="2"/>
  <c r="S46" i="2" s="1"/>
  <c r="S15" i="2"/>
  <c r="S36" i="2" s="1"/>
  <c r="R24" i="2"/>
  <c r="R45" i="2" s="1"/>
  <c r="R14" i="2"/>
  <c r="R35" i="2" s="1"/>
  <c r="R27" i="2"/>
  <c r="R48" i="2" s="1"/>
  <c r="R17" i="2"/>
  <c r="R38" i="2" s="1"/>
  <c r="M25" i="2"/>
  <c r="M46" i="2" s="1"/>
  <c r="M15" i="2"/>
  <c r="M36" i="2" s="1"/>
  <c r="M26" i="2"/>
  <c r="M47" i="2" s="1"/>
  <c r="M16" i="2"/>
  <c r="M37" i="2" s="1"/>
  <c r="M27" i="2"/>
  <c r="M48" i="2" s="1"/>
  <c r="M17" i="2"/>
  <c r="M38" i="2" s="1"/>
  <c r="M24" i="2"/>
  <c r="M45" i="2" s="1"/>
  <c r="M14" i="2"/>
  <c r="M35" i="2" s="1"/>
  <c r="M28" i="2"/>
  <c r="M49" i="2" s="1"/>
  <c r="M18" i="2"/>
  <c r="M39" i="2" s="1"/>
  <c r="N24" i="2"/>
  <c r="N45" i="2" s="1"/>
  <c r="N14" i="2"/>
  <c r="N35" i="2" s="1"/>
  <c r="N25" i="2"/>
  <c r="N46" i="2" s="1"/>
  <c r="N15" i="2"/>
  <c r="N36" i="2" s="1"/>
  <c r="N26" i="2"/>
  <c r="N47" i="2" s="1"/>
  <c r="N16" i="2"/>
  <c r="N37" i="2" s="1"/>
  <c r="N27" i="2"/>
  <c r="N48" i="2" s="1"/>
  <c r="N17" i="2"/>
  <c r="N38" i="2" s="1"/>
  <c r="N28" i="2"/>
  <c r="N49" i="2" s="1"/>
  <c r="N18" i="2"/>
  <c r="N39" i="2" s="1"/>
  <c r="H27" i="2"/>
  <c r="H48" i="2" s="1"/>
  <c r="H17" i="2"/>
  <c r="H38" i="2" s="1"/>
  <c r="H28" i="2"/>
  <c r="H49" i="2" s="1"/>
  <c r="H18" i="2"/>
  <c r="H39" i="2" s="1"/>
  <c r="I25" i="2"/>
  <c r="I46" i="2" s="1"/>
  <c r="I15" i="2"/>
  <c r="I36" i="2" s="1"/>
  <c r="I26" i="2"/>
  <c r="I47" i="2" s="1"/>
  <c r="I16" i="2"/>
  <c r="I37" i="2" s="1"/>
  <c r="I24" i="2"/>
  <c r="I45" i="2" s="1"/>
  <c r="I14" i="2"/>
  <c r="I35" i="2" s="1"/>
  <c r="I28" i="2"/>
  <c r="I49" i="2" s="1"/>
  <c r="I18" i="2"/>
  <c r="I39" i="2" s="1"/>
  <c r="AC26" i="2"/>
  <c r="AC47" i="2" s="1"/>
  <c r="AC16" i="2"/>
  <c r="AC37" i="2" s="1"/>
  <c r="AC27" i="2"/>
  <c r="AC48" i="2" s="1"/>
  <c r="AC17" i="2"/>
  <c r="AC38" i="2" s="1"/>
  <c r="AC24" i="2"/>
  <c r="AC45" i="2" s="1"/>
  <c r="AC14" i="2"/>
  <c r="AC35" i="2" s="1"/>
  <c r="AC28" i="2"/>
  <c r="AC49" i="2" s="1"/>
  <c r="AC18" i="2"/>
  <c r="AC39" i="2" s="1"/>
  <c r="X26" i="2"/>
  <c r="X47" i="2" s="1"/>
  <c r="X16" i="2"/>
  <c r="X37" i="2" s="1"/>
  <c r="X27" i="2"/>
  <c r="X48" i="2" s="1"/>
  <c r="X17" i="2"/>
  <c r="X38" i="2" s="1"/>
  <c r="X24" i="2"/>
  <c r="X45" i="2" s="1"/>
  <c r="X14" i="2"/>
  <c r="X35" i="2" s="1"/>
  <c r="X28" i="2"/>
  <c r="X49" i="2" s="1"/>
  <c r="X18" i="2"/>
  <c r="X39" i="2" s="1"/>
  <c r="D27" i="2"/>
  <c r="D48" i="2" s="1"/>
  <c r="D17" i="2"/>
  <c r="D38" i="2" s="1"/>
  <c r="D28" i="2"/>
  <c r="D49" i="2" s="1"/>
  <c r="D18" i="2"/>
  <c r="D39" i="2" s="1"/>
  <c r="S26" i="2"/>
  <c r="S47" i="2" s="1"/>
  <c r="S16" i="2"/>
  <c r="S37" i="2" s="1"/>
  <c r="I27" i="2"/>
  <c r="I48" i="2" s="1"/>
  <c r="I17" i="2"/>
  <c r="I38" i="2" s="1"/>
  <c r="X25" i="2"/>
  <c r="X46" i="2" s="1"/>
  <c r="X15" i="2"/>
  <c r="X36" i="2" s="1"/>
  <c r="R27" i="1"/>
  <c r="R47" i="1" s="1"/>
  <c r="R17" i="1"/>
  <c r="R37" i="1" s="1"/>
  <c r="AB28" i="1"/>
  <c r="AB48" i="1" s="1"/>
  <c r="AB18" i="1"/>
  <c r="AB38" i="1" s="1"/>
  <c r="R25" i="2"/>
  <c r="R46" i="2" s="1"/>
  <c r="R15" i="2"/>
  <c r="R26" i="2"/>
  <c r="R47" i="2" s="1"/>
  <c r="R16" i="2"/>
  <c r="R37" i="2" s="1"/>
  <c r="R28" i="2"/>
  <c r="R49" i="2" s="1"/>
  <c r="R18" i="2"/>
  <c r="R39" i="2" s="1"/>
  <c r="H25" i="2"/>
  <c r="H46" i="2" s="1"/>
  <c r="H15" i="2"/>
  <c r="H36" i="2" s="1"/>
  <c r="H24" i="2"/>
  <c r="H45" i="2" s="1"/>
  <c r="H26" i="2"/>
  <c r="H47" i="2" s="1"/>
  <c r="H16" i="2"/>
  <c r="H37" i="2" s="1"/>
  <c r="H14" i="2"/>
  <c r="H35" i="2" s="1"/>
  <c r="AB24" i="2"/>
  <c r="AB45" i="2" s="1"/>
  <c r="AB14" i="2"/>
  <c r="AB35" i="2" s="1"/>
  <c r="W28" i="2"/>
  <c r="W49" i="2" s="1"/>
  <c r="W18" i="2"/>
  <c r="W39" i="2" s="1"/>
  <c r="D26" i="2"/>
  <c r="D47" i="2" s="1"/>
  <c r="D16" i="2"/>
  <c r="D37" i="2" s="1"/>
  <c r="D24" i="2"/>
  <c r="D45" i="2" s="1"/>
  <c r="D14" i="2"/>
  <c r="D35" i="2" s="1"/>
  <c r="D25" i="2"/>
  <c r="D46" i="2" s="1"/>
  <c r="D15" i="2"/>
  <c r="D36" i="2" s="1"/>
  <c r="W25" i="2"/>
  <c r="W46" i="2" s="1"/>
  <c r="W15" i="2"/>
  <c r="W36" i="2" s="1"/>
  <c r="W24" i="2"/>
  <c r="W45" i="2" s="1"/>
  <c r="W14" i="2"/>
  <c r="W35" i="2" s="1"/>
  <c r="C28" i="2"/>
  <c r="C49" i="2" s="1"/>
  <c r="C18" i="2"/>
  <c r="C39" i="2" s="1"/>
  <c r="C27" i="2"/>
  <c r="C48" i="2" s="1"/>
  <c r="C17" i="2"/>
  <c r="C38" i="2" s="1"/>
  <c r="C26" i="2"/>
  <c r="C47" i="2" s="1"/>
  <c r="C16" i="2"/>
  <c r="C37" i="2" s="1"/>
  <c r="B28" i="2"/>
  <c r="B49" i="2" s="1"/>
  <c r="B27" i="2"/>
  <c r="B48" i="2" s="1"/>
  <c r="B26" i="2"/>
  <c r="B47" i="2" s="1"/>
  <c r="B25" i="2"/>
  <c r="B46" i="2" s="1"/>
  <c r="F46" i="2" s="1"/>
  <c r="B24" i="2"/>
  <c r="B45" i="2" s="1"/>
  <c r="F45" i="2" s="1"/>
  <c r="C25" i="2"/>
  <c r="C46" i="2" s="1"/>
  <c r="C15" i="2"/>
  <c r="C36" i="2" s="1"/>
  <c r="B18" i="2"/>
  <c r="B39" i="2" s="1"/>
  <c r="B17" i="2"/>
  <c r="B38" i="2" s="1"/>
  <c r="B16" i="2"/>
  <c r="B37" i="2" s="1"/>
  <c r="B15" i="2"/>
  <c r="B36" i="2" s="1"/>
  <c r="B14" i="2"/>
  <c r="B35" i="2" s="1"/>
  <c r="C14" i="2"/>
  <c r="C35" i="2" s="1"/>
  <c r="AE5" i="1"/>
  <c r="AE6" i="1"/>
  <c r="AE7" i="1"/>
  <c r="AE8" i="1"/>
  <c r="AE4" i="1"/>
  <c r="AD5" i="1"/>
  <c r="AD6" i="1"/>
  <c r="AD7" i="1"/>
  <c r="AD8" i="1"/>
  <c r="AD4" i="1"/>
  <c r="Z5" i="1"/>
  <c r="Z6" i="1"/>
  <c r="Z7" i="1"/>
  <c r="Z8" i="1"/>
  <c r="Z4" i="1"/>
  <c r="Y5" i="1"/>
  <c r="Y6" i="1"/>
  <c r="Y7" i="1"/>
  <c r="Y8" i="1"/>
  <c r="Y4" i="1"/>
  <c r="U5" i="1"/>
  <c r="U6" i="1"/>
  <c r="U7" i="1"/>
  <c r="U8" i="1"/>
  <c r="U4" i="1"/>
  <c r="T5" i="1"/>
  <c r="T6" i="1"/>
  <c r="T7" i="1"/>
  <c r="T8" i="1"/>
  <c r="T4" i="1"/>
  <c r="P5" i="1"/>
  <c r="P6" i="1"/>
  <c r="P7" i="1"/>
  <c r="P8" i="1"/>
  <c r="P4" i="1"/>
  <c r="O5" i="1"/>
  <c r="O6" i="1"/>
  <c r="O7" i="1"/>
  <c r="O8" i="1"/>
  <c r="O4" i="1"/>
  <c r="K5" i="1"/>
  <c r="K6" i="1"/>
  <c r="K7" i="1"/>
  <c r="K8" i="1"/>
  <c r="K4" i="1"/>
  <c r="J5" i="1"/>
  <c r="J6" i="1"/>
  <c r="J7" i="1"/>
  <c r="J8" i="1"/>
  <c r="J4" i="1"/>
  <c r="Z5" i="2"/>
  <c r="Z6" i="2"/>
  <c r="Z7" i="2"/>
  <c r="Z8" i="2"/>
  <c r="Z4" i="2"/>
  <c r="Y5" i="2"/>
  <c r="Y6" i="2"/>
  <c r="Y7" i="2"/>
  <c r="Y8" i="2"/>
  <c r="Y4" i="2"/>
  <c r="U5" i="2"/>
  <c r="U6" i="2"/>
  <c r="U7" i="2"/>
  <c r="U8" i="2"/>
  <c r="U4" i="2"/>
  <c r="T5" i="2"/>
  <c r="T6" i="2"/>
  <c r="T7" i="2"/>
  <c r="T8" i="2"/>
  <c r="T4" i="2"/>
  <c r="P5" i="2"/>
  <c r="P6" i="2"/>
  <c r="P7" i="2"/>
  <c r="P8" i="2"/>
  <c r="P4" i="2"/>
  <c r="O5" i="2"/>
  <c r="O6" i="2"/>
  <c r="O7" i="2"/>
  <c r="O8" i="2"/>
  <c r="O4" i="2"/>
  <c r="K5" i="2"/>
  <c r="K6" i="2"/>
  <c r="K7" i="2"/>
  <c r="K8" i="2"/>
  <c r="K4" i="2"/>
  <c r="J5" i="2"/>
  <c r="J6" i="2"/>
  <c r="J7" i="2"/>
  <c r="J8" i="2"/>
  <c r="J4" i="2"/>
  <c r="AE5" i="2"/>
  <c r="AE6" i="2"/>
  <c r="AE7" i="2"/>
  <c r="AE8" i="2"/>
  <c r="AE4" i="2"/>
  <c r="AD5" i="2"/>
  <c r="AD6" i="2"/>
  <c r="AD7" i="2"/>
  <c r="AD8" i="2"/>
  <c r="AD4" i="2"/>
  <c r="AD38" i="1" l="1"/>
  <c r="AE38" i="1"/>
  <c r="T35" i="1"/>
  <c r="U35" i="1"/>
  <c r="U34" i="1"/>
  <c r="T34" i="1"/>
  <c r="P35" i="1"/>
  <c r="O35" i="1"/>
  <c r="P44" i="1"/>
  <c r="O44" i="1"/>
  <c r="O46" i="1"/>
  <c r="P46" i="1"/>
  <c r="J46" i="1"/>
  <c r="K46" i="1"/>
  <c r="K44" i="1"/>
  <c r="J44" i="1"/>
  <c r="AE45" i="1"/>
  <c r="AD45" i="1"/>
  <c r="AE47" i="1"/>
  <c r="AD47" i="1"/>
  <c r="Z45" i="1"/>
  <c r="Y45" i="1"/>
  <c r="Y34" i="1"/>
  <c r="Z34" i="1"/>
  <c r="E35" i="1"/>
  <c r="F35" i="1"/>
  <c r="F37" i="1"/>
  <c r="E37" i="1"/>
  <c r="F48" i="1"/>
  <c r="E48" i="1"/>
  <c r="AE36" i="2"/>
  <c r="U37" i="1"/>
  <c r="T37" i="1"/>
  <c r="U36" i="1"/>
  <c r="T36" i="1"/>
  <c r="T38" i="1"/>
  <c r="U38" i="1"/>
  <c r="P47" i="1"/>
  <c r="O47" i="1"/>
  <c r="O48" i="1"/>
  <c r="P48" i="1"/>
  <c r="J45" i="1"/>
  <c r="K45" i="1"/>
  <c r="K47" i="1"/>
  <c r="J47" i="1"/>
  <c r="K48" i="1"/>
  <c r="J48" i="1"/>
  <c r="AE46" i="1"/>
  <c r="AD46" i="1"/>
  <c r="AE44" i="1"/>
  <c r="AD44" i="1"/>
  <c r="Z37" i="1"/>
  <c r="Y37" i="1"/>
  <c r="Y38" i="1"/>
  <c r="Z38" i="1"/>
  <c r="F36" i="1"/>
  <c r="E36" i="1"/>
  <c r="F34" i="1"/>
  <c r="E34" i="1"/>
  <c r="AE38" i="2"/>
  <c r="U47" i="1"/>
  <c r="T47" i="1"/>
  <c r="U46" i="1"/>
  <c r="T46" i="1"/>
  <c r="T48" i="1"/>
  <c r="U48" i="1"/>
  <c r="P34" i="1"/>
  <c r="O34" i="1"/>
  <c r="O36" i="1"/>
  <c r="P36" i="1"/>
  <c r="J36" i="1"/>
  <c r="K36" i="1"/>
  <c r="J34" i="1"/>
  <c r="K34" i="1"/>
  <c r="AE35" i="1"/>
  <c r="AD35" i="1"/>
  <c r="AE37" i="1"/>
  <c r="AD37" i="1"/>
  <c r="Z35" i="1"/>
  <c r="Y35" i="1"/>
  <c r="Y47" i="1"/>
  <c r="Z47" i="1"/>
  <c r="Y48" i="1"/>
  <c r="Z48" i="1"/>
  <c r="F46" i="1"/>
  <c r="E46" i="1"/>
  <c r="F38" i="1"/>
  <c r="E38" i="1"/>
  <c r="K47" i="2"/>
  <c r="P45" i="2"/>
  <c r="AD48" i="2"/>
  <c r="Y49" i="2"/>
  <c r="AE48" i="1"/>
  <c r="AD48" i="1"/>
  <c r="Z47" i="2"/>
  <c r="U45" i="1"/>
  <c r="T45" i="1"/>
  <c r="T44" i="1"/>
  <c r="U44" i="1"/>
  <c r="P37" i="1"/>
  <c r="O37" i="1"/>
  <c r="P38" i="1"/>
  <c r="O38" i="1"/>
  <c r="J35" i="1"/>
  <c r="K35" i="1"/>
  <c r="K37" i="1"/>
  <c r="J37" i="1"/>
  <c r="J38" i="1"/>
  <c r="K38" i="1"/>
  <c r="AD36" i="1"/>
  <c r="AE36" i="1"/>
  <c r="AE34" i="1"/>
  <c r="AD34" i="1"/>
  <c r="Z36" i="1"/>
  <c r="Y36" i="1"/>
  <c r="Z44" i="1"/>
  <c r="Y44" i="1"/>
  <c r="E45" i="1"/>
  <c r="F45" i="1"/>
  <c r="F47" i="1"/>
  <c r="E47" i="1"/>
  <c r="U46" i="2"/>
  <c r="Z48" i="2"/>
  <c r="AE37" i="2"/>
  <c r="AD46" i="2"/>
  <c r="O48" i="2"/>
  <c r="O49" i="2"/>
  <c r="T47" i="2"/>
  <c r="Z45" i="2"/>
  <c r="AD47" i="2"/>
  <c r="AD38" i="2"/>
  <c r="Y48" i="2"/>
  <c r="E46" i="2"/>
  <c r="E48" i="2"/>
  <c r="J47" i="2"/>
  <c r="J48" i="2"/>
  <c r="P46" i="2"/>
  <c r="T48" i="2"/>
  <c r="Z46" i="2"/>
  <c r="AA35" i="2"/>
  <c r="AD35" i="2" s="1"/>
  <c r="AD37" i="2"/>
  <c r="Y45" i="2"/>
  <c r="E45" i="2"/>
  <c r="F49" i="2"/>
  <c r="E47" i="2"/>
  <c r="K45" i="2"/>
  <c r="T46" i="2"/>
  <c r="Z49" i="2"/>
  <c r="P49" i="2"/>
  <c r="O45" i="2"/>
  <c r="J49" i="2"/>
  <c r="O47" i="2"/>
  <c r="T45" i="2"/>
  <c r="Y47" i="2"/>
  <c r="AD45" i="2"/>
  <c r="AE49" i="2"/>
  <c r="AD36" i="2"/>
  <c r="AE47" i="2"/>
  <c r="F48" i="2"/>
  <c r="AE45" i="2"/>
  <c r="F47" i="2"/>
  <c r="U48" i="2"/>
  <c r="U37" i="2"/>
  <c r="AE35" i="2"/>
  <c r="J45" i="2"/>
  <c r="O46" i="2"/>
  <c r="Y46" i="2"/>
  <c r="E49" i="2"/>
  <c r="R36" i="2"/>
  <c r="Q36" i="2"/>
  <c r="P47" i="2"/>
  <c r="U45" i="2"/>
  <c r="K46" i="2"/>
  <c r="AE46" i="2"/>
  <c r="U47" i="2"/>
  <c r="K48" i="2"/>
  <c r="AE48" i="2"/>
  <c r="U49" i="2"/>
  <c r="U38" i="2"/>
  <c r="Z38" i="2"/>
  <c r="Y38" i="2"/>
  <c r="Y39" i="2"/>
  <c r="T37" i="2"/>
  <c r="Z35" i="2"/>
  <c r="Y35" i="2"/>
  <c r="Z36" i="2"/>
  <c r="Y36" i="2"/>
  <c r="T38" i="2"/>
  <c r="T35" i="2"/>
  <c r="U35" i="2"/>
  <c r="U39" i="2"/>
  <c r="T39" i="2"/>
  <c r="Z37" i="2"/>
  <c r="Y37" i="2"/>
  <c r="Z39" i="2"/>
  <c r="F37" i="2"/>
  <c r="J37" i="2"/>
  <c r="F35" i="2"/>
  <c r="E35" i="2"/>
  <c r="F39" i="2"/>
  <c r="E39" i="2"/>
  <c r="K36" i="2"/>
  <c r="J36" i="2"/>
  <c r="O35" i="2"/>
  <c r="P35" i="2"/>
  <c r="E37" i="2"/>
  <c r="K38" i="2"/>
  <c r="F36" i="2"/>
  <c r="E36" i="2"/>
  <c r="O36" i="2"/>
  <c r="P36" i="2"/>
  <c r="K37" i="2"/>
  <c r="P37" i="2"/>
  <c r="O37" i="2"/>
  <c r="E38" i="2"/>
  <c r="F38" i="2"/>
  <c r="K35" i="2"/>
  <c r="J35" i="2"/>
  <c r="J39" i="2"/>
  <c r="K39" i="2"/>
  <c r="P38" i="2"/>
  <c r="O38" i="2"/>
  <c r="O39" i="2"/>
  <c r="P39" i="2"/>
  <c r="J38" i="2"/>
  <c r="U36" i="2" l="1"/>
  <c r="T36" i="2"/>
</calcChain>
</file>

<file path=xl/sharedStrings.xml><?xml version="1.0" encoding="utf-8"?>
<sst xmlns="http://schemas.openxmlformats.org/spreadsheetml/2006/main" count="549" uniqueCount="70">
  <si>
    <t>Glucose: Xylose ratio</t>
  </si>
  <si>
    <t>100% Glucose</t>
  </si>
  <si>
    <t>75% Glu : 25% Xyl</t>
  </si>
  <si>
    <t>50% Glu : 50% Xyl</t>
  </si>
  <si>
    <t>25% Glu : 75% Xyl</t>
  </si>
  <si>
    <t>100% Xylose</t>
  </si>
  <si>
    <t xml:space="preserve">Rep 1 </t>
  </si>
  <si>
    <t>Rep 2</t>
  </si>
  <si>
    <t>Rep 3</t>
  </si>
  <si>
    <t>Average</t>
  </si>
  <si>
    <t>Std Deviation</t>
  </si>
  <si>
    <t>0 h</t>
  </si>
  <si>
    <t>23 h</t>
  </si>
  <si>
    <t>46 h</t>
  </si>
  <si>
    <t>67 h</t>
  </si>
  <si>
    <t>112 h</t>
  </si>
  <si>
    <t>120 h</t>
  </si>
  <si>
    <t>Optical Density</t>
  </si>
  <si>
    <t>Xylose Concentration</t>
  </si>
  <si>
    <t>Glucose Concentration (g/L)</t>
  </si>
  <si>
    <t>Glucose Concentration (HPLC Integration)</t>
  </si>
  <si>
    <t>Xylose Concentration (g/L)</t>
  </si>
  <si>
    <t>glucose conc (g/L) = (y - 1322.2) / 230220</t>
  </si>
  <si>
    <t>xylose conc (g/L) = y / 225184</t>
  </si>
  <si>
    <t>Time (h)</t>
  </si>
  <si>
    <t>OD600 av (-)</t>
  </si>
  <si>
    <t>OD stdev</t>
  </si>
  <si>
    <t>glucose conc. (g/L) av.</t>
  </si>
  <si>
    <t>glu stdev</t>
  </si>
  <si>
    <t>xylose conc (g/L) av.</t>
  </si>
  <si>
    <t>xyl stdev</t>
  </si>
  <si>
    <t>75% glucose: 25% xylose</t>
  </si>
  <si>
    <t>50% glucose: 50% xylose</t>
  </si>
  <si>
    <t>25% glucose: 75% xylose</t>
  </si>
  <si>
    <t>Glucose Concentration (Integration)</t>
  </si>
  <si>
    <t>Xylose Concentration (integration)</t>
  </si>
  <si>
    <t>R. minuta OD and sugar uptake</t>
  </si>
  <si>
    <t>100% glucose</t>
  </si>
  <si>
    <t>75% glucose</t>
  </si>
  <si>
    <t>50% glucose</t>
  </si>
  <si>
    <t>25% glucose</t>
  </si>
  <si>
    <t>0% glucose</t>
  </si>
  <si>
    <t>0% xylose</t>
  </si>
  <si>
    <t>25% xylose</t>
  </si>
  <si>
    <t>50% xylose</t>
  </si>
  <si>
    <t>75% xylose</t>
  </si>
  <si>
    <t>100% xylose</t>
  </si>
  <si>
    <t>Test</t>
  </si>
  <si>
    <t>Carbon source</t>
  </si>
  <si>
    <t>75% glucose : 25% xylose</t>
  </si>
  <si>
    <t>25% glucose : 75% xylose</t>
  </si>
  <si>
    <t>50% glucose : 50% xylose</t>
  </si>
  <si>
    <t>R2</t>
  </si>
  <si>
    <t>glucose rate constant</t>
  </si>
  <si>
    <t>xylose rate constant</t>
  </si>
  <si>
    <t>-</t>
  </si>
  <si>
    <t>R. minuta</t>
  </si>
  <si>
    <t xml:space="preserve">OD 600 </t>
  </si>
  <si>
    <t>Glucose</t>
  </si>
  <si>
    <t>Xylose</t>
  </si>
  <si>
    <t>OD 600</t>
  </si>
  <si>
    <t>Glucose (y = 0.00059x + 0.013)</t>
  </si>
  <si>
    <t>Xylose (y = 0.0026x - 0.0252)</t>
  </si>
  <si>
    <t>Glucose (y = 0.0098x + 0.0206)</t>
  </si>
  <si>
    <t>Xylose (y = 0.0027x - 0.007)</t>
  </si>
  <si>
    <t>Glucose (y = 0.0127x + 0.0274)</t>
  </si>
  <si>
    <t>Xylose (y = 0.003x - 0.0251)</t>
  </si>
  <si>
    <t>Glucose (y = 0.005x - 0.0098)</t>
  </si>
  <si>
    <t>Glucose (y = 0.0065x - 0.0072)</t>
  </si>
  <si>
    <t>Xylose (y = 0.0034x - 0.0605)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</si>
</sst>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Fill="1"/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100% Glucose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'R. min graphs'!$D$4</c:f>
              <c:strCache>
                <c:ptCount val="1"/>
                <c:pt idx="0">
                  <c:v>glucose conc.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graphs'!$E$5:$E$10</c:f>
                <c:numCache>
                  <c:formatCode>General</c:formatCode>
                  <c:ptCount val="6"/>
                  <c:pt idx="0">
                    <c:v>2.8270159328151525</c:v>
                  </c:pt>
                  <c:pt idx="1">
                    <c:v>3.0994344799960074</c:v>
                  </c:pt>
                  <c:pt idx="2">
                    <c:v>3.0617715113980228</c:v>
                  </c:pt>
                  <c:pt idx="3">
                    <c:v>3.8194138691569024</c:v>
                  </c:pt>
                  <c:pt idx="4">
                    <c:v>2.6949260493460225</c:v>
                  </c:pt>
                  <c:pt idx="5">
                    <c:v>2.3694397286260198</c:v>
                  </c:pt>
                </c:numCache>
              </c:numRef>
            </c:plus>
            <c:minus>
              <c:numRef>
                <c:f>'R. min graphs'!$E$5:$E$10</c:f>
                <c:numCache>
                  <c:formatCode>General</c:formatCode>
                  <c:ptCount val="6"/>
                  <c:pt idx="0">
                    <c:v>2.8270159328151525</c:v>
                  </c:pt>
                  <c:pt idx="1">
                    <c:v>3.0994344799960074</c:v>
                  </c:pt>
                  <c:pt idx="2">
                    <c:v>3.0617715113980228</c:v>
                  </c:pt>
                  <c:pt idx="3">
                    <c:v>3.8194138691569024</c:v>
                  </c:pt>
                  <c:pt idx="4">
                    <c:v>2.6949260493460225</c:v>
                  </c:pt>
                  <c:pt idx="5">
                    <c:v>2.3694397286260198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graphs'!$A$5:$A$10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graphs'!$D$5:$D$10</c:f>
              <c:numCache>
                <c:formatCode>General</c:formatCode>
                <c:ptCount val="6"/>
                <c:pt idx="0">
                  <c:v>29.491387079025859</c:v>
                </c:pt>
                <c:pt idx="1">
                  <c:v>26.643479280688037</c:v>
                </c:pt>
                <c:pt idx="2">
                  <c:v>21.850139576636838</c:v>
                </c:pt>
                <c:pt idx="3">
                  <c:v>18.23848116294559</c:v>
                </c:pt>
                <c:pt idx="4">
                  <c:v>14.38679726638288</c:v>
                </c:pt>
                <c:pt idx="5">
                  <c:v>13.819299510613035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'R. min graphs'!$F$4</c:f>
              <c:strCache>
                <c:ptCount val="1"/>
                <c:pt idx="0">
                  <c:v>xylose conc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graphs'!$G$5:$G$10</c:f>
                <c:numCache>
                  <c:formatCode>General</c:formatCode>
                  <c:ptCount val="6"/>
                  <c:pt idx="0">
                    <c:v>0.18014361612400809</c:v>
                  </c:pt>
                  <c:pt idx="1">
                    <c:v>0.34339868021713998</c:v>
                  </c:pt>
                  <c:pt idx="2">
                    <c:v>0.3940658477386314</c:v>
                  </c:pt>
                  <c:pt idx="3">
                    <c:v>0.3537731328145205</c:v>
                  </c:pt>
                  <c:pt idx="4">
                    <c:v>0.28805548390309893</c:v>
                  </c:pt>
                  <c:pt idx="5">
                    <c:v>0.28189737662640313</c:v>
                  </c:pt>
                </c:numCache>
              </c:numRef>
            </c:plus>
            <c:minus>
              <c:numRef>
                <c:f>'R. min graphs'!$G$5:$G$10</c:f>
                <c:numCache>
                  <c:formatCode>General</c:formatCode>
                  <c:ptCount val="6"/>
                  <c:pt idx="0">
                    <c:v>0.18014361612400809</c:v>
                  </c:pt>
                  <c:pt idx="1">
                    <c:v>0.34339868021713998</c:v>
                  </c:pt>
                  <c:pt idx="2">
                    <c:v>0.3940658477386314</c:v>
                  </c:pt>
                  <c:pt idx="3">
                    <c:v>0.3537731328145205</c:v>
                  </c:pt>
                  <c:pt idx="4">
                    <c:v>0.28805548390309893</c:v>
                  </c:pt>
                  <c:pt idx="5">
                    <c:v>0.28189737662640313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graphs'!$A$5:$A$10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graphs'!$F$5:$F$10</c:f>
              <c:numCache>
                <c:formatCode>General</c:formatCode>
                <c:ptCount val="6"/>
                <c:pt idx="0">
                  <c:v>0.19162403486334137</c:v>
                </c:pt>
                <c:pt idx="1">
                  <c:v>0.32545237080195161</c:v>
                </c:pt>
                <c:pt idx="2">
                  <c:v>0.31246743403912652</c:v>
                </c:pt>
                <c:pt idx="3">
                  <c:v>0.29491142058642411</c:v>
                </c:pt>
                <c:pt idx="4">
                  <c:v>0.34535905452133958</c:v>
                </c:pt>
                <c:pt idx="5">
                  <c:v>0.34003600018947466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35088"/>
        <c:axId val="450335480"/>
      </c:scatterChart>
      <c:scatterChart>
        <c:scatterStyle val="smoothMarker"/>
        <c:varyColors val="0"/>
        <c:ser>
          <c:idx val="0"/>
          <c:order val="0"/>
          <c:tx>
            <c:strRef>
              <c:f>'R. min graphs'!$B$4</c:f>
              <c:strCache>
                <c:ptCount val="1"/>
                <c:pt idx="0">
                  <c:v>OD600 av (-)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graphs'!$C$5:$C$10</c:f>
                <c:numCache>
                  <c:formatCode>General</c:formatCode>
                  <c:ptCount val="6"/>
                  <c:pt idx="0">
                    <c:v>1.2503332889007355E-2</c:v>
                  </c:pt>
                  <c:pt idx="1">
                    <c:v>2.200000000000002E-2</c:v>
                  </c:pt>
                  <c:pt idx="2">
                    <c:v>7.0237691685685194E-2</c:v>
                  </c:pt>
                  <c:pt idx="3">
                    <c:v>0.35004761580866839</c:v>
                  </c:pt>
                  <c:pt idx="4">
                    <c:v>2.7197794028192694</c:v>
                  </c:pt>
                  <c:pt idx="5">
                    <c:v>3.0392323592205575</c:v>
                  </c:pt>
                </c:numCache>
              </c:numRef>
            </c:plus>
            <c:minus>
              <c:numRef>
                <c:f>'R. min graphs'!$C$5:$C$10</c:f>
                <c:numCache>
                  <c:formatCode>General</c:formatCode>
                  <c:ptCount val="6"/>
                  <c:pt idx="0">
                    <c:v>1.2503332889007355E-2</c:v>
                  </c:pt>
                  <c:pt idx="1">
                    <c:v>2.200000000000002E-2</c:v>
                  </c:pt>
                  <c:pt idx="2">
                    <c:v>7.0237691685685194E-2</c:v>
                  </c:pt>
                  <c:pt idx="3">
                    <c:v>0.35004761580866839</c:v>
                  </c:pt>
                  <c:pt idx="4">
                    <c:v>2.7197794028192694</c:v>
                  </c:pt>
                  <c:pt idx="5">
                    <c:v>3.0392323592205575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graphs'!$A$5:$A$10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graphs'!$B$5:$B$10</c:f>
              <c:numCache>
                <c:formatCode>General</c:formatCode>
                <c:ptCount val="6"/>
                <c:pt idx="0">
                  <c:v>5.4333333333333338E-2</c:v>
                </c:pt>
                <c:pt idx="1">
                  <c:v>1.79</c:v>
                </c:pt>
                <c:pt idx="2">
                  <c:v>9.5066666666666659</c:v>
                </c:pt>
                <c:pt idx="3">
                  <c:v>11.766666666666666</c:v>
                </c:pt>
                <c:pt idx="4">
                  <c:v>14.680000000000001</c:v>
                </c:pt>
                <c:pt idx="5">
                  <c:v>14.353333333333333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26984"/>
        <c:axId val="455626592"/>
      </c:scatterChart>
      <c:valAx>
        <c:axId val="450335088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50335480"/>
        <c:crosses val="autoZero"/>
        <c:crossBetween val="midCat"/>
      </c:valAx>
      <c:valAx>
        <c:axId val="450335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0335088"/>
        <c:crosses val="autoZero"/>
        <c:crossBetween val="midCat"/>
      </c:valAx>
      <c:valAx>
        <c:axId val="4556265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55626984"/>
        <c:crosses val="max"/>
        <c:crossBetween val="midCat"/>
      </c:valAx>
      <c:valAx>
        <c:axId val="455626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5626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110979877515307"/>
          <c:y val="0.37249416487298953"/>
          <c:w val="0.33222353455818021"/>
          <c:h val="0.250282538212135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75% Glucose : 25% Xylose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'R. min kinetics'!$E$29</c:f>
              <c:strCache>
                <c:ptCount val="1"/>
                <c:pt idx="0">
                  <c:v>Glucose (y = 0.005x - 0.0098)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kinetics'!$A$30:$A$35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kinetics'!$E$30:$E$35</c:f>
              <c:numCache>
                <c:formatCode>General</c:formatCode>
                <c:ptCount val="6"/>
                <c:pt idx="0">
                  <c:v>0</c:v>
                </c:pt>
                <c:pt idx="1">
                  <c:v>6.8763778802828912E-2</c:v>
                </c:pt>
                <c:pt idx="2">
                  <c:v>0.23355436376516242</c:v>
                </c:pt>
                <c:pt idx="3">
                  <c:v>0.34889769624425077</c:v>
                </c:pt>
                <c:pt idx="4">
                  <c:v>0.55118254756486174</c:v>
                </c:pt>
                <c:pt idx="5">
                  <c:v>0.57520983099243417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kinetics'!$G$29</c:f>
              <c:strCache>
                <c:ptCount val="1"/>
                <c:pt idx="0">
                  <c:v>Xylose (y = 0.0034x - 0.0605)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3">
                    <a:lumMod val="75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kinetics'!$A$30:$A$35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kinetics'!$G$30:$G$35</c:f>
              <c:numCache>
                <c:formatCode>General</c:formatCode>
                <c:ptCount val="6"/>
                <c:pt idx="0">
                  <c:v>0</c:v>
                </c:pt>
                <c:pt idx="1">
                  <c:v>-1.1093870751802709E-2</c:v>
                </c:pt>
                <c:pt idx="2">
                  <c:v>4.6898950818749709E-2</c:v>
                </c:pt>
                <c:pt idx="3">
                  <c:v>0.14521179529752606</c:v>
                </c:pt>
                <c:pt idx="4">
                  <c:v>0.33658173477870162</c:v>
                </c:pt>
                <c:pt idx="5">
                  <c:v>0.36359207467223542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9256"/>
        <c:axId val="560829648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kinetics'!$B$29</c:f>
              <c:strCache>
                <c:ptCount val="1"/>
                <c:pt idx="0">
                  <c:v>OD 600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kinetics'!$C$30:$C$35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plus>
            <c:minus>
              <c:numRef>
                <c:f>'R. min kinetics'!$C$30:$C$35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kinetics'!$A$30:$A$35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kinetics'!$B$30:$B$35</c:f>
              <c:numCache>
                <c:formatCode>General</c:formatCode>
                <c:ptCount val="6"/>
                <c:pt idx="0">
                  <c:v>6.7666666666666667E-2</c:v>
                </c:pt>
                <c:pt idx="1">
                  <c:v>1.6953333333333334</c:v>
                </c:pt>
                <c:pt idx="2">
                  <c:v>8.6300000000000008</c:v>
                </c:pt>
                <c:pt idx="3">
                  <c:v>10.293333333333335</c:v>
                </c:pt>
                <c:pt idx="4">
                  <c:v>12.833333333333334</c:v>
                </c:pt>
                <c:pt idx="5">
                  <c:v>12.839999999999998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181384"/>
        <c:axId val="561180992"/>
      </c:scatterChart>
      <c:valAx>
        <c:axId val="56082925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9648"/>
        <c:crosses val="autoZero"/>
        <c:crossBetween val="midCat"/>
      </c:valAx>
      <c:valAx>
        <c:axId val="560829648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([sugat]</a:t>
                </a:r>
                <a:r>
                  <a:rPr lang="en-US" baseline="-25000"/>
                  <a:t>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9256"/>
        <c:crosses val="autoZero"/>
        <c:crossBetween val="midCat"/>
        <c:majorUnit val="0.2"/>
      </c:valAx>
      <c:valAx>
        <c:axId val="561180992"/>
        <c:scaling>
          <c:orientation val="minMax"/>
          <c:max val="2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81384"/>
        <c:crosses val="max"/>
        <c:crossBetween val="midCat"/>
      </c:valAx>
      <c:valAx>
        <c:axId val="56118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180992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25% glucose : 75% xylose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604491165322155"/>
          <c:y val="0.15165857937128802"/>
          <c:w val="0.73482955412220596"/>
          <c:h val="0.63409282792751887"/>
        </c:manualLayout>
      </c:layout>
      <c:scatterChart>
        <c:scatterStyle val="lineMarker"/>
        <c:varyColors val="0"/>
        <c:ser>
          <c:idx val="1"/>
          <c:order val="1"/>
          <c:tx>
            <c:strRef>
              <c:f>'R. min kinetics'!$E$56</c:f>
              <c:strCache>
                <c:ptCount val="1"/>
                <c:pt idx="0">
                  <c:v>Glucose (y = 0.0098x + 0.0206)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'R. min kinetics'!$A$57:$A$62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kinetics'!$E$57:$E$62</c:f>
              <c:numCache>
                <c:formatCode>General</c:formatCode>
                <c:ptCount val="6"/>
                <c:pt idx="0">
                  <c:v>0</c:v>
                </c:pt>
                <c:pt idx="1">
                  <c:v>0.18817269340700224</c:v>
                </c:pt>
                <c:pt idx="2">
                  <c:v>0.52963823809472088</c:v>
                </c:pt>
                <c:pt idx="3">
                  <c:v>0.76070799550683688</c:v>
                </c:pt>
                <c:pt idx="4">
                  <c:v>1.0776268832680787</c:v>
                </c:pt>
                <c:pt idx="5">
                  <c:v>1.1861752122699469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kinetics'!$G$56</c:f>
              <c:strCache>
                <c:ptCount val="1"/>
                <c:pt idx="0">
                  <c:v>Xylose (y = 0.0027x - 0.007)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'R. min kinetics'!$A$57:$A$62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kinetics'!$G$57:$G$62</c:f>
              <c:numCache>
                <c:formatCode>General</c:formatCode>
                <c:ptCount val="6"/>
                <c:pt idx="0">
                  <c:v>0</c:v>
                </c:pt>
                <c:pt idx="1">
                  <c:v>5.2015971552342305E-2</c:v>
                </c:pt>
                <c:pt idx="2">
                  <c:v>9.7789702641448761E-2</c:v>
                </c:pt>
                <c:pt idx="3">
                  <c:v>0.18203811419045021</c:v>
                </c:pt>
                <c:pt idx="4">
                  <c:v>0.31668467793310745</c:v>
                </c:pt>
                <c:pt idx="5">
                  <c:v>0.29227771853200102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182168"/>
        <c:axId val="561182560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kinetics'!$B$56</c:f>
              <c:strCache>
                <c:ptCount val="1"/>
                <c:pt idx="0">
                  <c:v>OD 600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'R. min kinetics'!$C$57:$C$62</c:f>
                <c:numCache>
                  <c:formatCode>General</c:formatCode>
                  <c:ptCount val="6"/>
                  <c:pt idx="0">
                    <c:v>8.3266639978645304E-3</c:v>
                  </c:pt>
                  <c:pt idx="1">
                    <c:v>4.2158431343366248E-2</c:v>
                  </c:pt>
                  <c:pt idx="2">
                    <c:v>0.35004761580866833</c:v>
                  </c:pt>
                  <c:pt idx="3">
                    <c:v>0.15044378795195709</c:v>
                  </c:pt>
                  <c:pt idx="4">
                    <c:v>1.5821925715074505</c:v>
                  </c:pt>
                  <c:pt idx="5">
                    <c:v>2.1546538778498188</c:v>
                  </c:pt>
                </c:numCache>
              </c:numRef>
            </c:plus>
            <c:minus>
              <c:numRef>
                <c:f>'R. min kinetics'!$C$57:$C$62</c:f>
                <c:numCache>
                  <c:formatCode>General</c:formatCode>
                  <c:ptCount val="6"/>
                  <c:pt idx="0">
                    <c:v>8.3266639978645304E-3</c:v>
                  </c:pt>
                  <c:pt idx="1">
                    <c:v>4.2158431343366248E-2</c:v>
                  </c:pt>
                  <c:pt idx="2">
                    <c:v>0.35004761580866833</c:v>
                  </c:pt>
                  <c:pt idx="3">
                    <c:v>0.15044378795195709</c:v>
                  </c:pt>
                  <c:pt idx="4">
                    <c:v>1.5821925715074505</c:v>
                  </c:pt>
                  <c:pt idx="5">
                    <c:v>2.1546538778498188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kinetics'!$A$57:$A$62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kinetics'!$B$57:$B$62</c:f>
              <c:numCache>
                <c:formatCode>General</c:formatCode>
                <c:ptCount val="6"/>
                <c:pt idx="0">
                  <c:v>6.8333333333333329E-2</c:v>
                </c:pt>
                <c:pt idx="1">
                  <c:v>1.6066666666666665</c:v>
                </c:pt>
                <c:pt idx="2">
                  <c:v>7.8433333333333337</c:v>
                </c:pt>
                <c:pt idx="3">
                  <c:v>9.7433333333333341</c:v>
                </c:pt>
                <c:pt idx="4">
                  <c:v>11.606666666666667</c:v>
                </c:pt>
                <c:pt idx="5">
                  <c:v>11.853333333333333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183344"/>
        <c:axId val="561182952"/>
      </c:scatterChart>
      <c:valAx>
        <c:axId val="561182168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82560"/>
        <c:crosses val="autoZero"/>
        <c:crossBetween val="midCat"/>
      </c:valAx>
      <c:valAx>
        <c:axId val="561182560"/>
        <c:scaling>
          <c:orientation val="minMax"/>
          <c:max val="1.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([sugar]</a:t>
                </a:r>
                <a:r>
                  <a:rPr lang="en-US" baseline="-25000"/>
                  <a:t>t0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82168"/>
        <c:crosses val="autoZero"/>
        <c:crossBetween val="midCat"/>
        <c:majorUnit val="0.2"/>
      </c:valAx>
      <c:valAx>
        <c:axId val="561182952"/>
        <c:scaling>
          <c:orientation val="minMax"/>
          <c:max val="18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83344"/>
        <c:crosses val="max"/>
        <c:crossBetween val="midCat"/>
        <c:majorUnit val="2"/>
      </c:valAx>
      <c:valAx>
        <c:axId val="56118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182952"/>
        <c:crosses val="autoZero"/>
        <c:crossBetween val="midCat"/>
      </c:valAx>
    </c:plotArea>
    <c:legend>
      <c:legendPos val="t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303825953267456"/>
          <c:y val="0.13420460948483837"/>
          <c:w val="0.56546339956168079"/>
          <c:h val="0.26709264010532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100% xylose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604491165322155"/>
          <c:y val="0.15165857937128802"/>
          <c:w val="0.73482955412220596"/>
          <c:h val="0.63409282792751887"/>
        </c:manualLayout>
      </c:layout>
      <c:scatterChart>
        <c:scatterStyle val="lineMarker"/>
        <c:varyColors val="0"/>
        <c:ser>
          <c:idx val="1"/>
          <c:order val="1"/>
          <c:tx>
            <c:strRef>
              <c:f>'R. min kinetics'!$E$65</c:f>
              <c:strCache>
                <c:ptCount val="1"/>
                <c:pt idx="0">
                  <c:v>Glucose (y = 0.0127x + 0.0274)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'R. min kinetics'!$A$66:$A$71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kinetics'!$E$66:$E$71</c:f>
              <c:numCache>
                <c:formatCode>General</c:formatCode>
                <c:ptCount val="6"/>
                <c:pt idx="0">
                  <c:v>0</c:v>
                </c:pt>
                <c:pt idx="1">
                  <c:v>0.22442768486627868</c:v>
                </c:pt>
                <c:pt idx="2">
                  <c:v>0.68608900193535838</c:v>
                </c:pt>
                <c:pt idx="3">
                  <c:v>1.0424199273662484</c:v>
                </c:pt>
                <c:pt idx="4">
                  <c:v>1.2620356154500452</c:v>
                </c:pt>
                <c:pt idx="5">
                  <c:v>1.630472828984735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kinetics'!$G$65</c:f>
              <c:strCache>
                <c:ptCount val="1"/>
                <c:pt idx="0">
                  <c:v>Xylose (y = 0.003x - 0.0251)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'R. min kinetics'!$A$66:$A$71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kinetics'!$G$66:$G$71</c:f>
              <c:numCache>
                <c:formatCode>General</c:formatCode>
                <c:ptCount val="6"/>
                <c:pt idx="0">
                  <c:v>0</c:v>
                </c:pt>
                <c:pt idx="1">
                  <c:v>1.8700369163718852E-2</c:v>
                </c:pt>
                <c:pt idx="2">
                  <c:v>9.2034099346429449E-2</c:v>
                </c:pt>
                <c:pt idx="3">
                  <c:v>0.18616351885535118</c:v>
                </c:pt>
                <c:pt idx="4">
                  <c:v>0.32206967030135153</c:v>
                </c:pt>
                <c:pt idx="5">
                  <c:v>0.32211502970270378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184128"/>
        <c:axId val="561184520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kinetics'!$B$65</c:f>
              <c:strCache>
                <c:ptCount val="1"/>
                <c:pt idx="0">
                  <c:v>OD 600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'R. min kinetics'!$C$66:$C$71</c:f>
                <c:numCache>
                  <c:formatCode>General</c:formatCode>
                  <c:ptCount val="6"/>
                  <c:pt idx="0">
                    <c:v>7.0000000000000019E-3</c:v>
                  </c:pt>
                  <c:pt idx="1">
                    <c:v>6.7121779873103346E-2</c:v>
                  </c:pt>
                  <c:pt idx="2">
                    <c:v>0.75345869163478352</c:v>
                  </c:pt>
                  <c:pt idx="3">
                    <c:v>1.0095048291117783</c:v>
                  </c:pt>
                  <c:pt idx="4">
                    <c:v>1.8293805873391411</c:v>
                  </c:pt>
                  <c:pt idx="5">
                    <c:v>2.1882032203004709</c:v>
                  </c:pt>
                </c:numCache>
              </c:numRef>
            </c:plus>
            <c:minus>
              <c:numRef>
                <c:f>'R. min kinetics'!$C$66:$C$71</c:f>
                <c:numCache>
                  <c:formatCode>General</c:formatCode>
                  <c:ptCount val="6"/>
                  <c:pt idx="0">
                    <c:v>7.0000000000000019E-3</c:v>
                  </c:pt>
                  <c:pt idx="1">
                    <c:v>6.7121779873103346E-2</c:v>
                  </c:pt>
                  <c:pt idx="2">
                    <c:v>0.75345869163478352</c:v>
                  </c:pt>
                  <c:pt idx="3">
                    <c:v>1.0095048291117783</c:v>
                  </c:pt>
                  <c:pt idx="4">
                    <c:v>1.8293805873391411</c:v>
                  </c:pt>
                  <c:pt idx="5">
                    <c:v>2.1882032203004709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kinetics'!$A$66:$A$71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kinetics'!$B$66:$B$71</c:f>
              <c:numCache>
                <c:formatCode>General</c:formatCode>
                <c:ptCount val="6"/>
                <c:pt idx="0">
                  <c:v>6.3E-2</c:v>
                </c:pt>
                <c:pt idx="1">
                  <c:v>1.4533333333333331</c:v>
                </c:pt>
                <c:pt idx="2">
                  <c:v>7.1000000000000005</c:v>
                </c:pt>
                <c:pt idx="3">
                  <c:v>8.57</c:v>
                </c:pt>
                <c:pt idx="4">
                  <c:v>10.543333333333335</c:v>
                </c:pt>
                <c:pt idx="5">
                  <c:v>9.8633333333333333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89792"/>
        <c:axId val="449189400"/>
      </c:scatterChart>
      <c:valAx>
        <c:axId val="561184128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84520"/>
        <c:crosses val="autoZero"/>
        <c:crossBetween val="midCat"/>
      </c:valAx>
      <c:valAx>
        <c:axId val="561184520"/>
        <c:scaling>
          <c:orientation val="minMax"/>
          <c:max val="1.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([sugar]</a:t>
                </a:r>
                <a:r>
                  <a:rPr lang="en-US" baseline="-25000"/>
                  <a:t>t0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84128"/>
        <c:crosses val="autoZero"/>
        <c:crossBetween val="midCat"/>
        <c:majorUnit val="0.2"/>
      </c:valAx>
      <c:valAx>
        <c:axId val="449189400"/>
        <c:scaling>
          <c:orientation val="minMax"/>
          <c:max val="18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9189792"/>
        <c:crosses val="max"/>
        <c:crossBetween val="midCat"/>
        <c:majorUnit val="2"/>
      </c:valAx>
      <c:valAx>
        <c:axId val="449189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9189400"/>
        <c:crosses val="autoZero"/>
        <c:crossBetween val="midCat"/>
      </c:valAx>
    </c:plotArea>
    <c:legend>
      <c:legendPos val="t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303825953267456"/>
          <c:y val="0.13420460948483837"/>
          <c:w val="0.56546339956168079"/>
          <c:h val="0.26709264010532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75% glucose : 25% xylose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604491165322155"/>
          <c:y val="0.15165857937128802"/>
          <c:w val="0.73482955412220596"/>
          <c:h val="0.63409282792751887"/>
        </c:manualLayout>
      </c:layout>
      <c:scatterChart>
        <c:scatterStyle val="lineMarker"/>
        <c:varyColors val="0"/>
        <c:ser>
          <c:idx val="1"/>
          <c:order val="1"/>
          <c:tx>
            <c:strRef>
              <c:f>'R. min kinetics'!$E$29</c:f>
              <c:strCache>
                <c:ptCount val="1"/>
                <c:pt idx="0">
                  <c:v>Glucose (y = 0.005x - 0.0098)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'R. min kinetics'!$A$30:$A$35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kinetics'!$E$30:$E$35</c:f>
              <c:numCache>
                <c:formatCode>General</c:formatCode>
                <c:ptCount val="6"/>
                <c:pt idx="0">
                  <c:v>0</c:v>
                </c:pt>
                <c:pt idx="1">
                  <c:v>6.8763778802828912E-2</c:v>
                </c:pt>
                <c:pt idx="2">
                  <c:v>0.23355436376516242</c:v>
                </c:pt>
                <c:pt idx="3">
                  <c:v>0.34889769624425077</c:v>
                </c:pt>
                <c:pt idx="4">
                  <c:v>0.55118254756486174</c:v>
                </c:pt>
                <c:pt idx="5">
                  <c:v>0.57520983099243417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kinetics'!$G$29</c:f>
              <c:strCache>
                <c:ptCount val="1"/>
                <c:pt idx="0">
                  <c:v>Xylose (y = 0.0034x - 0.0605)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'R. min kinetics'!$A$30:$A$35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kinetics'!$G$30:$G$35</c:f>
              <c:numCache>
                <c:formatCode>General</c:formatCode>
                <c:ptCount val="6"/>
                <c:pt idx="0">
                  <c:v>0</c:v>
                </c:pt>
                <c:pt idx="1">
                  <c:v>-1.1093870751802709E-2</c:v>
                </c:pt>
                <c:pt idx="2">
                  <c:v>4.6898950818749709E-2</c:v>
                </c:pt>
                <c:pt idx="3">
                  <c:v>0.14521179529752606</c:v>
                </c:pt>
                <c:pt idx="4">
                  <c:v>0.33658173477870162</c:v>
                </c:pt>
                <c:pt idx="5">
                  <c:v>0.36359207467223542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90576"/>
        <c:axId val="449190968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kinetics'!$B$29</c:f>
              <c:strCache>
                <c:ptCount val="1"/>
                <c:pt idx="0">
                  <c:v>OD 600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'R. min kinetics'!$C$30:$C$35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plus>
            <c:minus>
              <c:numRef>
                <c:f>'R. min kinetics'!$C$30:$C$35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kinetics'!$A$30:$A$35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kinetics'!$B$30:$B$35</c:f>
              <c:numCache>
                <c:formatCode>General</c:formatCode>
                <c:ptCount val="6"/>
                <c:pt idx="0">
                  <c:v>6.7666666666666667E-2</c:v>
                </c:pt>
                <c:pt idx="1">
                  <c:v>1.6953333333333334</c:v>
                </c:pt>
                <c:pt idx="2">
                  <c:v>8.6300000000000008</c:v>
                </c:pt>
                <c:pt idx="3">
                  <c:v>10.293333333333335</c:v>
                </c:pt>
                <c:pt idx="4">
                  <c:v>12.833333333333334</c:v>
                </c:pt>
                <c:pt idx="5">
                  <c:v>12.839999999999998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91752"/>
        <c:axId val="449191360"/>
      </c:scatterChart>
      <c:valAx>
        <c:axId val="449190576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9190968"/>
        <c:crosses val="autoZero"/>
        <c:crossBetween val="midCat"/>
      </c:valAx>
      <c:valAx>
        <c:axId val="449190968"/>
        <c:scaling>
          <c:orientation val="minMax"/>
          <c:max val="1.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([sugar]</a:t>
                </a:r>
                <a:r>
                  <a:rPr lang="en-US" baseline="-25000"/>
                  <a:t>t0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9190576"/>
        <c:crosses val="autoZero"/>
        <c:crossBetween val="midCat"/>
        <c:majorUnit val="0.2"/>
      </c:valAx>
      <c:valAx>
        <c:axId val="449191360"/>
        <c:scaling>
          <c:orientation val="minMax"/>
          <c:max val="18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9191752"/>
        <c:crosses val="max"/>
        <c:crossBetween val="midCat"/>
        <c:majorUnit val="2"/>
      </c:valAx>
      <c:valAx>
        <c:axId val="449191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9191360"/>
        <c:crosses val="autoZero"/>
        <c:crossBetween val="midCat"/>
      </c:valAx>
    </c:plotArea>
    <c:legend>
      <c:legendPos val="t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303825953267456"/>
          <c:y val="0.13420460948483837"/>
          <c:w val="0.56546339956168079"/>
          <c:h val="0.26709264010532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100% glucose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604491165322155"/>
          <c:y val="0.15165857937128802"/>
          <c:w val="0.73482955412220596"/>
          <c:h val="0.63409282792751887"/>
        </c:manualLayout>
      </c:layout>
      <c:scatterChart>
        <c:scatterStyle val="lineMarker"/>
        <c:varyColors val="0"/>
        <c:ser>
          <c:idx val="1"/>
          <c:order val="1"/>
          <c:tx>
            <c:strRef>
              <c:f>'R. min kinetics'!$E$19</c:f>
              <c:strCache>
                <c:ptCount val="1"/>
                <c:pt idx="0">
                  <c:v>Glucose (y = 0.0065x - 0.0072)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'R. min kinetics'!$A$20:$A$25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kinetics'!$E$20:$E$25</c:f>
              <c:numCache>
                <c:formatCode>General</c:formatCode>
                <c:ptCount val="6"/>
                <c:pt idx="0">
                  <c:v>0</c:v>
                </c:pt>
                <c:pt idx="1">
                  <c:v>0.10155381651959629</c:v>
                </c:pt>
                <c:pt idx="2">
                  <c:v>0.2998909478253417</c:v>
                </c:pt>
                <c:pt idx="3">
                  <c:v>0.48056454568957369</c:v>
                </c:pt>
                <c:pt idx="4">
                  <c:v>0.71778732778254772</c:v>
                </c:pt>
                <c:pt idx="5">
                  <c:v>0.75803212687999522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92536"/>
        <c:axId val="449192928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kinetics'!$B$19</c:f>
              <c:strCache>
                <c:ptCount val="1"/>
                <c:pt idx="0">
                  <c:v>OD 600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'R. min kinetics'!$C$30:$C$35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plus>
            <c:minus>
              <c:numRef>
                <c:f>'R. min kinetics'!$C$30:$C$35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kinetics'!$A$20:$A$25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kinetics'!$B$20:$B$25</c:f>
              <c:numCache>
                <c:formatCode>General</c:formatCode>
                <c:ptCount val="6"/>
                <c:pt idx="0">
                  <c:v>5.4333333333333338E-2</c:v>
                </c:pt>
                <c:pt idx="1">
                  <c:v>1.79</c:v>
                </c:pt>
                <c:pt idx="2">
                  <c:v>9.5066666666666659</c:v>
                </c:pt>
                <c:pt idx="3">
                  <c:v>11.766666666666666</c:v>
                </c:pt>
                <c:pt idx="4">
                  <c:v>14.680000000000001</c:v>
                </c:pt>
                <c:pt idx="5">
                  <c:v>14.353333333333333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699144"/>
        <c:axId val="560698752"/>
      </c:scatterChart>
      <c:valAx>
        <c:axId val="449192536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9192928"/>
        <c:crosses val="autoZero"/>
        <c:crossBetween val="midCat"/>
      </c:valAx>
      <c:valAx>
        <c:axId val="449192928"/>
        <c:scaling>
          <c:orientation val="minMax"/>
          <c:max val="1.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([sugar]</a:t>
                </a:r>
                <a:r>
                  <a:rPr lang="en-US" baseline="-25000"/>
                  <a:t>t0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9192536"/>
        <c:crosses val="autoZero"/>
        <c:crossBetween val="midCat"/>
        <c:majorUnit val="0.2"/>
      </c:valAx>
      <c:valAx>
        <c:axId val="560698752"/>
        <c:scaling>
          <c:orientation val="minMax"/>
          <c:max val="18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699144"/>
        <c:crosses val="max"/>
        <c:crossBetween val="midCat"/>
        <c:majorUnit val="2"/>
      </c:valAx>
      <c:valAx>
        <c:axId val="560699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698752"/>
        <c:crosses val="autoZero"/>
        <c:crossBetween val="midCat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303825953267456"/>
          <c:y val="0.13420460948483837"/>
          <c:w val="0.56546339956168079"/>
          <c:h val="0.1605628101117633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75% Glucose : 25% Xylose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'R. min graphs'!$D$14</c:f>
              <c:strCache>
                <c:ptCount val="1"/>
                <c:pt idx="0">
                  <c:v>glucose conc.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graphs'!$E$15:$E$20</c:f>
                <c:numCache>
                  <c:formatCode>General</c:formatCode>
                  <c:ptCount val="6"/>
                  <c:pt idx="0">
                    <c:v>2.2635298320381607</c:v>
                  </c:pt>
                  <c:pt idx="1">
                    <c:v>2.3464598212072412</c:v>
                  </c:pt>
                  <c:pt idx="2">
                    <c:v>1.7579385694803957</c:v>
                  </c:pt>
                  <c:pt idx="3">
                    <c:v>2.0832986103312865</c:v>
                  </c:pt>
                  <c:pt idx="4">
                    <c:v>1.7068277411640407</c:v>
                  </c:pt>
                  <c:pt idx="5">
                    <c:v>1.3740937408219627</c:v>
                  </c:pt>
                </c:numCache>
              </c:numRef>
            </c:plus>
            <c:minus>
              <c:numRef>
                <c:f>'R. min graphs'!$E$15:$E$20</c:f>
                <c:numCache>
                  <c:formatCode>General</c:formatCode>
                  <c:ptCount val="6"/>
                  <c:pt idx="0">
                    <c:v>2.2635298320381607</c:v>
                  </c:pt>
                  <c:pt idx="1">
                    <c:v>2.3464598212072412</c:v>
                  </c:pt>
                  <c:pt idx="2">
                    <c:v>1.7579385694803957</c:v>
                  </c:pt>
                  <c:pt idx="3">
                    <c:v>2.0832986103312865</c:v>
                  </c:pt>
                  <c:pt idx="4">
                    <c:v>1.7068277411640407</c:v>
                  </c:pt>
                  <c:pt idx="5">
                    <c:v>1.3740937408219627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graphs'!$A$15:$A$20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graphs'!$D$15:$D$20</c:f>
              <c:numCache>
                <c:formatCode>General</c:formatCode>
                <c:ptCount val="6"/>
                <c:pt idx="0">
                  <c:v>21.768200561781484</c:v>
                </c:pt>
                <c:pt idx="1">
                  <c:v>20.321642197318507</c:v>
                </c:pt>
                <c:pt idx="2">
                  <c:v>17.23420119885327</c:v>
                </c:pt>
                <c:pt idx="3">
                  <c:v>15.356710103379376</c:v>
                </c:pt>
                <c:pt idx="4">
                  <c:v>12.544316161352908</c:v>
                </c:pt>
                <c:pt idx="5">
                  <c:v>12.246502475892621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'R. min graphs'!$F$14</c:f>
              <c:strCache>
                <c:ptCount val="1"/>
                <c:pt idx="0">
                  <c:v>xylose conc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graphs'!$G$15:$G$20</c:f>
                <c:numCache>
                  <c:formatCode>General</c:formatCode>
                  <c:ptCount val="6"/>
                  <c:pt idx="0">
                    <c:v>0.75206717565959091</c:v>
                  </c:pt>
                  <c:pt idx="1">
                    <c:v>1.0728271360069066</c:v>
                  </c:pt>
                  <c:pt idx="2">
                    <c:v>0.9788265188092572</c:v>
                  </c:pt>
                  <c:pt idx="3">
                    <c:v>0.83740802560785077</c:v>
                  </c:pt>
                  <c:pt idx="4">
                    <c:v>0.7747652401118007</c:v>
                  </c:pt>
                  <c:pt idx="5">
                    <c:v>0.691498541890609</c:v>
                  </c:pt>
                </c:numCache>
              </c:numRef>
            </c:plus>
            <c:minus>
              <c:numRef>
                <c:f>'R. min graphs'!$G$15:$G$20</c:f>
                <c:numCache>
                  <c:formatCode>General</c:formatCode>
                  <c:ptCount val="6"/>
                  <c:pt idx="0">
                    <c:v>0.75206717565959091</c:v>
                  </c:pt>
                  <c:pt idx="1">
                    <c:v>1.0728271360069066</c:v>
                  </c:pt>
                  <c:pt idx="2">
                    <c:v>0.9788265188092572</c:v>
                  </c:pt>
                  <c:pt idx="3">
                    <c:v>0.83740802560785077</c:v>
                  </c:pt>
                  <c:pt idx="4">
                    <c:v>0.7747652401118007</c:v>
                  </c:pt>
                  <c:pt idx="5">
                    <c:v>0.691498541890609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graphs'!$A$15:$A$20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graphs'!$F$15:$F$20</c:f>
              <c:numCache>
                <c:formatCode>General</c:formatCode>
                <c:ptCount val="6"/>
                <c:pt idx="0">
                  <c:v>6.5974788025200128</c:v>
                </c:pt>
                <c:pt idx="1">
                  <c:v>6.6710778740940739</c:v>
                </c:pt>
                <c:pt idx="2">
                  <c:v>6.2952074747761833</c:v>
                </c:pt>
                <c:pt idx="3">
                  <c:v>5.7057576618824299</c:v>
                </c:pt>
                <c:pt idx="4">
                  <c:v>4.7119688787835727</c:v>
                </c:pt>
                <c:pt idx="5">
                  <c:v>4.586400454739235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27768"/>
        <c:axId val="455628160"/>
      </c:scatterChart>
      <c:scatterChart>
        <c:scatterStyle val="smoothMarker"/>
        <c:varyColors val="0"/>
        <c:ser>
          <c:idx val="0"/>
          <c:order val="0"/>
          <c:tx>
            <c:strRef>
              <c:f>'R. min graphs'!$B$14</c:f>
              <c:strCache>
                <c:ptCount val="1"/>
                <c:pt idx="0">
                  <c:v>OD600 av (-)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graphs'!$C$15:$C$20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plus>
            <c:minus>
              <c:numRef>
                <c:f>'R. min graphs'!$C$15:$C$20</c:f>
                <c:numCache>
                  <c:formatCode>General</c:formatCode>
                  <c:ptCount val="6"/>
                  <c:pt idx="0">
                    <c:v>1.5947831618540877E-2</c:v>
                  </c:pt>
                  <c:pt idx="1">
                    <c:v>4.2394968254892425E-2</c:v>
                  </c:pt>
                  <c:pt idx="2">
                    <c:v>0.49869830559166739</c:v>
                  </c:pt>
                  <c:pt idx="3">
                    <c:v>0.91358269102108836</c:v>
                  </c:pt>
                  <c:pt idx="4">
                    <c:v>3.2277752916418034</c:v>
                  </c:pt>
                  <c:pt idx="5">
                    <c:v>3.230541750233245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graphs'!$A$15:$A$20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graphs'!$B$15:$B$20</c:f>
              <c:numCache>
                <c:formatCode>General</c:formatCode>
                <c:ptCount val="6"/>
                <c:pt idx="0">
                  <c:v>6.7666666666666667E-2</c:v>
                </c:pt>
                <c:pt idx="1">
                  <c:v>1.6953333333333334</c:v>
                </c:pt>
                <c:pt idx="2">
                  <c:v>8.6300000000000008</c:v>
                </c:pt>
                <c:pt idx="3">
                  <c:v>10.293333333333335</c:v>
                </c:pt>
                <c:pt idx="4">
                  <c:v>12.833333333333334</c:v>
                </c:pt>
                <c:pt idx="5">
                  <c:v>12.839999999999998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28944"/>
        <c:axId val="455628552"/>
      </c:scatterChart>
      <c:valAx>
        <c:axId val="455627768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55628160"/>
        <c:crosses val="autoZero"/>
        <c:crossBetween val="midCat"/>
      </c:valAx>
      <c:valAx>
        <c:axId val="455628160"/>
        <c:scaling>
          <c:orientation val="minMax"/>
          <c:max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5627768"/>
        <c:crosses val="autoZero"/>
        <c:crossBetween val="midCat"/>
      </c:valAx>
      <c:valAx>
        <c:axId val="455628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55628944"/>
        <c:crosses val="max"/>
        <c:crossBetween val="midCat"/>
      </c:valAx>
      <c:valAx>
        <c:axId val="455628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5628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50% Glucose : 50% Xylose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'R. min graphs'!$D$32</c:f>
              <c:strCache>
                <c:ptCount val="1"/>
                <c:pt idx="0">
                  <c:v>glucose conc.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graphs'!$E$33:$E$38</c:f>
                <c:numCache>
                  <c:formatCode>General</c:formatCode>
                  <c:ptCount val="6"/>
                  <c:pt idx="0">
                    <c:v>0.59752864092828284</c:v>
                  </c:pt>
                  <c:pt idx="1">
                    <c:v>1.9706003420106761</c:v>
                  </c:pt>
                  <c:pt idx="2">
                    <c:v>1.0422130604539972</c:v>
                  </c:pt>
                  <c:pt idx="3">
                    <c:v>1.7297321129815042</c:v>
                  </c:pt>
                  <c:pt idx="4">
                    <c:v>1.5533311536364423</c:v>
                  </c:pt>
                  <c:pt idx="5">
                    <c:v>1.396948604043184</c:v>
                  </c:pt>
                </c:numCache>
              </c:numRef>
            </c:plus>
            <c:minus>
              <c:numRef>
                <c:f>'R. min graphs'!$E$33:$E$38</c:f>
                <c:numCache>
                  <c:formatCode>General</c:formatCode>
                  <c:ptCount val="6"/>
                  <c:pt idx="0">
                    <c:v>0.59752864092828284</c:v>
                  </c:pt>
                  <c:pt idx="1">
                    <c:v>1.9706003420106761</c:v>
                  </c:pt>
                  <c:pt idx="2">
                    <c:v>1.0422130604539972</c:v>
                  </c:pt>
                  <c:pt idx="3">
                    <c:v>1.7297321129815042</c:v>
                  </c:pt>
                  <c:pt idx="4">
                    <c:v>1.5533311536364423</c:v>
                  </c:pt>
                  <c:pt idx="5">
                    <c:v>1.396948604043184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graphs'!$A$33:$A$38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graphs'!$D$33:$D$38</c:f>
              <c:numCache>
                <c:formatCode>General</c:formatCode>
                <c:ptCount val="6"/>
                <c:pt idx="0">
                  <c:v>14.349907914169057</c:v>
                </c:pt>
                <c:pt idx="1">
                  <c:v>12.745445515883356</c:v>
                </c:pt>
                <c:pt idx="2">
                  <c:v>10.162298960414674</c:v>
                </c:pt>
                <c:pt idx="3">
                  <c:v>9.4642188631164395</c:v>
                </c:pt>
                <c:pt idx="4">
                  <c:v>7.3850134653809398</c:v>
                </c:pt>
                <c:pt idx="5">
                  <c:v>6.9977606926707798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'R. min graphs'!$F$32</c:f>
              <c:strCache>
                <c:ptCount val="1"/>
                <c:pt idx="0">
                  <c:v>xylose conc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graphs'!$G$33:$G$38</c:f>
                <c:numCache>
                  <c:formatCode>General</c:formatCode>
                  <c:ptCount val="6"/>
                  <c:pt idx="0">
                    <c:v>2.2858278934213372</c:v>
                  </c:pt>
                  <c:pt idx="1">
                    <c:v>0.79907104751822622</c:v>
                  </c:pt>
                  <c:pt idx="2">
                    <c:v>1.4007095613687686</c:v>
                  </c:pt>
                  <c:pt idx="3">
                    <c:v>0.97642392717769011</c:v>
                  </c:pt>
                  <c:pt idx="4">
                    <c:v>0.8745939822634472</c:v>
                  </c:pt>
                  <c:pt idx="5">
                    <c:v>0.87113858857497994</c:v>
                  </c:pt>
                </c:numCache>
              </c:numRef>
            </c:plus>
            <c:minus>
              <c:numRef>
                <c:f>'R. min graphs'!$G$33:$G$38</c:f>
                <c:numCache>
                  <c:formatCode>General</c:formatCode>
                  <c:ptCount val="6"/>
                  <c:pt idx="0">
                    <c:v>2.2858278934213372</c:v>
                  </c:pt>
                  <c:pt idx="1">
                    <c:v>0.79907104751822622</c:v>
                  </c:pt>
                  <c:pt idx="2">
                    <c:v>1.4007095613687686</c:v>
                  </c:pt>
                  <c:pt idx="3">
                    <c:v>0.97642392717769011</c:v>
                  </c:pt>
                  <c:pt idx="4">
                    <c:v>0.8745939822634472</c:v>
                  </c:pt>
                  <c:pt idx="5">
                    <c:v>0.87113858857497994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graphs'!$A$33:$A$38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graphs'!$F$33:$F$38</c:f>
              <c:numCache>
                <c:formatCode>General</c:formatCode>
                <c:ptCount val="6"/>
                <c:pt idx="0">
                  <c:v>13.875660200843162</c:v>
                </c:pt>
                <c:pt idx="1">
                  <c:v>13.532873857230827</c:v>
                </c:pt>
                <c:pt idx="2">
                  <c:v>12.642727724882761</c:v>
                </c:pt>
                <c:pt idx="3">
                  <c:v>12.388950073421439</c:v>
                </c:pt>
                <c:pt idx="4">
                  <c:v>10.536426507507935</c:v>
                </c:pt>
                <c:pt idx="5">
                  <c:v>10.222384065179289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29728"/>
        <c:axId val="455630120"/>
      </c:scatterChart>
      <c:scatterChart>
        <c:scatterStyle val="smoothMarker"/>
        <c:varyColors val="0"/>
        <c:ser>
          <c:idx val="0"/>
          <c:order val="0"/>
          <c:tx>
            <c:strRef>
              <c:f>'R. min graphs'!$B$32</c:f>
              <c:strCache>
                <c:ptCount val="1"/>
                <c:pt idx="0">
                  <c:v>OD600 av (-)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graphs'!$C$33:$C$38</c:f>
                <c:numCache>
                  <c:formatCode>General</c:formatCode>
                  <c:ptCount val="6"/>
                  <c:pt idx="0">
                    <c:v>1.1015141094572134E-2</c:v>
                  </c:pt>
                  <c:pt idx="1">
                    <c:v>2.5166114784235857E-2</c:v>
                  </c:pt>
                  <c:pt idx="2">
                    <c:v>0.44792112400883016</c:v>
                  </c:pt>
                  <c:pt idx="3">
                    <c:v>0.52319531088622528</c:v>
                  </c:pt>
                  <c:pt idx="4">
                    <c:v>2.6733000829187286</c:v>
                  </c:pt>
                  <c:pt idx="5">
                    <c:v>2.4252010225958571</c:v>
                  </c:pt>
                </c:numCache>
              </c:numRef>
            </c:plus>
            <c:minus>
              <c:numRef>
                <c:f>'R. min graphs'!$C$33:$C$38</c:f>
                <c:numCache>
                  <c:formatCode>General</c:formatCode>
                  <c:ptCount val="6"/>
                  <c:pt idx="0">
                    <c:v>1.1015141094572134E-2</c:v>
                  </c:pt>
                  <c:pt idx="1">
                    <c:v>2.5166114784235857E-2</c:v>
                  </c:pt>
                  <c:pt idx="2">
                    <c:v>0.44792112400883016</c:v>
                  </c:pt>
                  <c:pt idx="3">
                    <c:v>0.52319531088622528</c:v>
                  </c:pt>
                  <c:pt idx="4">
                    <c:v>2.6733000829187286</c:v>
                  </c:pt>
                  <c:pt idx="5">
                    <c:v>2.4252010225958571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graphs'!$A$33:$A$38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graphs'!$B$33:$B$38</c:f>
              <c:numCache>
                <c:formatCode>General</c:formatCode>
                <c:ptCount val="6"/>
                <c:pt idx="0">
                  <c:v>6.7333333333333342E-2</c:v>
                </c:pt>
                <c:pt idx="1">
                  <c:v>1.6553333333333331</c:v>
                </c:pt>
                <c:pt idx="2">
                  <c:v>8.3833333333333329</c:v>
                </c:pt>
                <c:pt idx="3">
                  <c:v>10.266666666666667</c:v>
                </c:pt>
                <c:pt idx="4">
                  <c:v>12.373333333333335</c:v>
                </c:pt>
                <c:pt idx="5">
                  <c:v>12.299999999999999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30904"/>
        <c:axId val="455630512"/>
      </c:scatterChart>
      <c:valAx>
        <c:axId val="455629728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55630120"/>
        <c:crosses val="autoZero"/>
        <c:crossBetween val="midCat"/>
      </c:valAx>
      <c:valAx>
        <c:axId val="455630120"/>
        <c:scaling>
          <c:orientation val="minMax"/>
          <c:max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5629728"/>
        <c:crosses val="autoZero"/>
        <c:crossBetween val="midCat"/>
        <c:majorUnit val="5"/>
      </c:valAx>
      <c:valAx>
        <c:axId val="455630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55630904"/>
        <c:crosses val="max"/>
        <c:crossBetween val="midCat"/>
      </c:valAx>
      <c:valAx>
        <c:axId val="455630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5630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25% Glucose : 75% Xylose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'R. min graphs'!$D$41</c:f>
              <c:strCache>
                <c:ptCount val="1"/>
                <c:pt idx="0">
                  <c:v>glucose conc.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graphs'!$E$42:$E$47</c:f>
                <c:numCache>
                  <c:formatCode>General</c:formatCode>
                  <c:ptCount val="6"/>
                  <c:pt idx="0">
                    <c:v>1.5027297451737553</c:v>
                  </c:pt>
                  <c:pt idx="1">
                    <c:v>1.8603559718372837</c:v>
                  </c:pt>
                  <c:pt idx="2">
                    <c:v>1.6723448949051019</c:v>
                  </c:pt>
                  <c:pt idx="3">
                    <c:v>1.6052886171210281</c:v>
                  </c:pt>
                  <c:pt idx="4">
                    <c:v>1.7563372882762578</c:v>
                  </c:pt>
                  <c:pt idx="5">
                    <c:v>1.5149953372538456</c:v>
                  </c:pt>
                </c:numCache>
              </c:numRef>
            </c:plus>
            <c:minus>
              <c:numRef>
                <c:f>'R. min graphs'!$E$42:$E$47</c:f>
                <c:numCache>
                  <c:formatCode>General</c:formatCode>
                  <c:ptCount val="6"/>
                  <c:pt idx="0">
                    <c:v>1.5027297451737553</c:v>
                  </c:pt>
                  <c:pt idx="1">
                    <c:v>1.8603559718372837</c:v>
                  </c:pt>
                  <c:pt idx="2">
                    <c:v>1.6723448949051019</c:v>
                  </c:pt>
                  <c:pt idx="3">
                    <c:v>1.6052886171210281</c:v>
                  </c:pt>
                  <c:pt idx="4">
                    <c:v>1.7563372882762578</c:v>
                  </c:pt>
                  <c:pt idx="5">
                    <c:v>1.5149953372538456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graphs'!$A$42:$A$47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graphs'!$D$42:$D$47</c:f>
              <c:numCache>
                <c:formatCode>General</c:formatCode>
                <c:ptCount val="6"/>
                <c:pt idx="0">
                  <c:v>7.9107917064836535</c:v>
                </c:pt>
                <c:pt idx="1">
                  <c:v>6.5538664465873238</c:v>
                </c:pt>
                <c:pt idx="2">
                  <c:v>4.6580161005415119</c:v>
                </c:pt>
                <c:pt idx="3">
                  <c:v>3.6969933107462434</c:v>
                </c:pt>
                <c:pt idx="4">
                  <c:v>2.6928523441345962</c:v>
                </c:pt>
                <c:pt idx="5">
                  <c:v>2.4158535314047431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'R. min graphs'!$F$41</c:f>
              <c:strCache>
                <c:ptCount val="1"/>
                <c:pt idx="0">
                  <c:v>xylose conc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graphs'!$G$42:$G$47</c:f>
                <c:numCache>
                  <c:formatCode>General</c:formatCode>
                  <c:ptCount val="6"/>
                  <c:pt idx="0">
                    <c:v>1.8040196641673918</c:v>
                  </c:pt>
                  <c:pt idx="1">
                    <c:v>1.0328171813760398</c:v>
                  </c:pt>
                  <c:pt idx="2">
                    <c:v>0.70182031295292069</c:v>
                  </c:pt>
                  <c:pt idx="3">
                    <c:v>0.50949838551644133</c:v>
                  </c:pt>
                  <c:pt idx="4">
                    <c:v>1.2030834335665004</c:v>
                  </c:pt>
                  <c:pt idx="5">
                    <c:v>0.24777971009678285</c:v>
                  </c:pt>
                </c:numCache>
              </c:numRef>
            </c:plus>
            <c:minus>
              <c:numRef>
                <c:f>'R. min graphs'!$G$42:$G$47</c:f>
                <c:numCache>
                  <c:formatCode>General</c:formatCode>
                  <c:ptCount val="6"/>
                  <c:pt idx="0">
                    <c:v>1.8040196641673918</c:v>
                  </c:pt>
                  <c:pt idx="1">
                    <c:v>1.0328171813760398</c:v>
                  </c:pt>
                  <c:pt idx="2">
                    <c:v>0.70182031295292069</c:v>
                  </c:pt>
                  <c:pt idx="3">
                    <c:v>0.50949838551644133</c:v>
                  </c:pt>
                  <c:pt idx="4">
                    <c:v>1.2030834335665004</c:v>
                  </c:pt>
                  <c:pt idx="5">
                    <c:v>0.24777971009678285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graphs'!$A$42:$A$47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graphs'!$F$42:$F$47</c:f>
              <c:numCache>
                <c:formatCode>General</c:formatCode>
                <c:ptCount val="6"/>
                <c:pt idx="0">
                  <c:v>22.555791412060064</c:v>
                </c:pt>
                <c:pt idx="1">
                  <c:v>21.412521908010046</c:v>
                </c:pt>
                <c:pt idx="2">
                  <c:v>20.454484628866467</c:v>
                </c:pt>
                <c:pt idx="3">
                  <c:v>18.801821325375396</c:v>
                </c:pt>
                <c:pt idx="4">
                  <c:v>16.433257543460755</c:v>
                </c:pt>
                <c:pt idx="5">
                  <c:v>16.839278101463691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31688"/>
        <c:axId val="455632080"/>
      </c:scatterChart>
      <c:scatterChart>
        <c:scatterStyle val="smoothMarker"/>
        <c:varyColors val="0"/>
        <c:ser>
          <c:idx val="0"/>
          <c:order val="0"/>
          <c:tx>
            <c:strRef>
              <c:f>'R. min graphs'!$B$41</c:f>
              <c:strCache>
                <c:ptCount val="1"/>
                <c:pt idx="0">
                  <c:v>OD600 av (-)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graphs'!$C$42:$C$47</c:f>
                <c:numCache>
                  <c:formatCode>General</c:formatCode>
                  <c:ptCount val="6"/>
                  <c:pt idx="0">
                    <c:v>8.3266639978645304E-3</c:v>
                  </c:pt>
                  <c:pt idx="1">
                    <c:v>4.2158431343366248E-2</c:v>
                  </c:pt>
                  <c:pt idx="2">
                    <c:v>0.35004761580866833</c:v>
                  </c:pt>
                  <c:pt idx="3">
                    <c:v>0.15044378795195709</c:v>
                  </c:pt>
                  <c:pt idx="4">
                    <c:v>1.5821925715074505</c:v>
                  </c:pt>
                  <c:pt idx="5">
                    <c:v>2.1546538778498188</c:v>
                  </c:pt>
                </c:numCache>
              </c:numRef>
            </c:plus>
            <c:minus>
              <c:numRef>
                <c:f>'R. min graphs'!$C$42:$C$47</c:f>
                <c:numCache>
                  <c:formatCode>General</c:formatCode>
                  <c:ptCount val="6"/>
                  <c:pt idx="0">
                    <c:v>8.3266639978645304E-3</c:v>
                  </c:pt>
                  <c:pt idx="1">
                    <c:v>4.2158431343366248E-2</c:v>
                  </c:pt>
                  <c:pt idx="2">
                    <c:v>0.35004761580866833</c:v>
                  </c:pt>
                  <c:pt idx="3">
                    <c:v>0.15044378795195709</c:v>
                  </c:pt>
                  <c:pt idx="4">
                    <c:v>1.5821925715074505</c:v>
                  </c:pt>
                  <c:pt idx="5">
                    <c:v>2.1546538778498188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graphs'!$A$42:$A$47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graphs'!$B$42:$B$47</c:f>
              <c:numCache>
                <c:formatCode>General</c:formatCode>
                <c:ptCount val="6"/>
                <c:pt idx="0">
                  <c:v>6.8333333333333329E-2</c:v>
                </c:pt>
                <c:pt idx="1">
                  <c:v>1.6066666666666665</c:v>
                </c:pt>
                <c:pt idx="2">
                  <c:v>7.8433333333333337</c:v>
                </c:pt>
                <c:pt idx="3">
                  <c:v>9.7433333333333341</c:v>
                </c:pt>
                <c:pt idx="4">
                  <c:v>11.606666666666667</c:v>
                </c:pt>
                <c:pt idx="5">
                  <c:v>11.853333333333333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32864"/>
        <c:axId val="455632472"/>
      </c:scatterChart>
      <c:valAx>
        <c:axId val="455631688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55632080"/>
        <c:crosses val="autoZero"/>
        <c:crossBetween val="midCat"/>
      </c:valAx>
      <c:valAx>
        <c:axId val="455632080"/>
        <c:scaling>
          <c:orientation val="minMax"/>
          <c:max val="3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5631688"/>
        <c:crosses val="autoZero"/>
        <c:crossBetween val="midCat"/>
      </c:valAx>
      <c:valAx>
        <c:axId val="4556324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55632864"/>
        <c:crosses val="max"/>
        <c:crossBetween val="midCat"/>
      </c:valAx>
      <c:valAx>
        <c:axId val="455632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5632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100% Xylose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'R. min graphs'!$D$50</c:f>
              <c:strCache>
                <c:ptCount val="1"/>
                <c:pt idx="0">
                  <c:v>glucose conc.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graphs'!$E$51:$E$56</c:f>
                <c:numCache>
                  <c:formatCode>General</c:formatCode>
                  <c:ptCount val="6"/>
                  <c:pt idx="0">
                    <c:v>1.3517976215136807</c:v>
                  </c:pt>
                  <c:pt idx="1">
                    <c:v>1.1279903788249239</c:v>
                  </c:pt>
                  <c:pt idx="2">
                    <c:v>0.53398973289316887</c:v>
                  </c:pt>
                  <c:pt idx="3">
                    <c:v>0.25594324556849879</c:v>
                  </c:pt>
                  <c:pt idx="4">
                    <c:v>0.1766685467384016</c:v>
                  </c:pt>
                  <c:pt idx="5">
                    <c:v>0.1571075085597933</c:v>
                  </c:pt>
                </c:numCache>
              </c:numRef>
            </c:plus>
            <c:minus>
              <c:numRef>
                <c:f>'R. min graphs'!$E$51:$E$56</c:f>
                <c:numCache>
                  <c:formatCode>General</c:formatCode>
                  <c:ptCount val="6"/>
                  <c:pt idx="0">
                    <c:v>1.3517976215136807</c:v>
                  </c:pt>
                  <c:pt idx="1">
                    <c:v>1.1279903788249239</c:v>
                  </c:pt>
                  <c:pt idx="2">
                    <c:v>0.53398973289316887</c:v>
                  </c:pt>
                  <c:pt idx="3">
                    <c:v>0.25594324556849879</c:v>
                  </c:pt>
                  <c:pt idx="4">
                    <c:v>0.1766685467384016</c:v>
                  </c:pt>
                  <c:pt idx="5">
                    <c:v>0.1571075085597933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graphs'!$A$51:$A$56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graphs'!$D$51:$D$56</c:f>
              <c:numCache>
                <c:formatCode>General</c:formatCode>
                <c:ptCount val="6"/>
                <c:pt idx="0">
                  <c:v>1.179751831581386</c:v>
                </c:pt>
                <c:pt idx="1">
                  <c:v>0.94259027596791478</c:v>
                </c:pt>
                <c:pt idx="2">
                  <c:v>0.59405409318622771</c:v>
                </c:pt>
                <c:pt idx="3">
                  <c:v>0.41598094576202471</c:v>
                </c:pt>
                <c:pt idx="4">
                  <c:v>0.33396084904294443</c:v>
                </c:pt>
                <c:pt idx="5">
                  <c:v>0.23103900616801321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'R. min graphs'!$F$50</c:f>
              <c:strCache>
                <c:ptCount val="1"/>
                <c:pt idx="0">
                  <c:v>xylose conc (g/L) av.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graphs'!$G$51:$G$56</c:f>
                <c:numCache>
                  <c:formatCode>General</c:formatCode>
                  <c:ptCount val="6"/>
                  <c:pt idx="0">
                    <c:v>2.1900355625033883</c:v>
                  </c:pt>
                  <c:pt idx="1">
                    <c:v>0.71511041334444803</c:v>
                  </c:pt>
                  <c:pt idx="2">
                    <c:v>0.70008176528783383</c:v>
                  </c:pt>
                  <c:pt idx="3">
                    <c:v>0.54735073557722247</c:v>
                  </c:pt>
                  <c:pt idx="4">
                    <c:v>1.0392519141116503</c:v>
                  </c:pt>
                  <c:pt idx="5">
                    <c:v>0.61470957921284186</c:v>
                  </c:pt>
                </c:numCache>
              </c:numRef>
            </c:plus>
            <c:minus>
              <c:numRef>
                <c:f>'R. min graphs'!$G$51:$G$56</c:f>
                <c:numCache>
                  <c:formatCode>General</c:formatCode>
                  <c:ptCount val="6"/>
                  <c:pt idx="0">
                    <c:v>2.1900355625033883</c:v>
                  </c:pt>
                  <c:pt idx="1">
                    <c:v>0.71511041334444803</c:v>
                  </c:pt>
                  <c:pt idx="2">
                    <c:v>0.70008176528783383</c:v>
                  </c:pt>
                  <c:pt idx="3">
                    <c:v>0.54735073557722247</c:v>
                  </c:pt>
                  <c:pt idx="4">
                    <c:v>1.0392519141116503</c:v>
                  </c:pt>
                  <c:pt idx="5">
                    <c:v>0.61470957921284186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graphs'!$A$51:$A$56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graphs'!$F$51:$F$56</c:f>
              <c:numCache>
                <c:formatCode>General</c:formatCode>
                <c:ptCount val="6"/>
                <c:pt idx="0">
                  <c:v>29.543413386386245</c:v>
                </c:pt>
                <c:pt idx="1">
                  <c:v>28.996074321443796</c:v>
                </c:pt>
                <c:pt idx="2">
                  <c:v>26.945780635687555</c:v>
                </c:pt>
                <c:pt idx="3">
                  <c:v>24.525105395291551</c:v>
                </c:pt>
                <c:pt idx="4">
                  <c:v>21.408566624034865</c:v>
                </c:pt>
                <c:pt idx="5">
                  <c:v>21.407595566292457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33648"/>
        <c:axId val="455634040"/>
      </c:scatterChart>
      <c:scatterChart>
        <c:scatterStyle val="smoothMarker"/>
        <c:varyColors val="0"/>
        <c:ser>
          <c:idx val="0"/>
          <c:order val="0"/>
          <c:tx>
            <c:strRef>
              <c:f>'R. min graphs'!$B$50</c:f>
              <c:strCache>
                <c:ptCount val="1"/>
                <c:pt idx="0">
                  <c:v>OD600 av (-)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graphs'!$C$51:$C$56</c:f>
                <c:numCache>
                  <c:formatCode>General</c:formatCode>
                  <c:ptCount val="6"/>
                  <c:pt idx="0">
                    <c:v>7.0000000000000019E-3</c:v>
                  </c:pt>
                  <c:pt idx="1">
                    <c:v>6.7121779873103346E-2</c:v>
                  </c:pt>
                  <c:pt idx="2">
                    <c:v>0.75345869163478352</c:v>
                  </c:pt>
                  <c:pt idx="3">
                    <c:v>1.0095048291117783</c:v>
                  </c:pt>
                  <c:pt idx="4">
                    <c:v>1.8293805873391411</c:v>
                  </c:pt>
                  <c:pt idx="5">
                    <c:v>2.1882032203004709</c:v>
                  </c:pt>
                </c:numCache>
              </c:numRef>
            </c:plus>
            <c:minus>
              <c:numRef>
                <c:f>'R. min graphs'!$C$51:$C$56</c:f>
                <c:numCache>
                  <c:formatCode>General</c:formatCode>
                  <c:ptCount val="6"/>
                  <c:pt idx="0">
                    <c:v>7.0000000000000019E-3</c:v>
                  </c:pt>
                  <c:pt idx="1">
                    <c:v>6.7121779873103346E-2</c:v>
                  </c:pt>
                  <c:pt idx="2">
                    <c:v>0.75345869163478352</c:v>
                  </c:pt>
                  <c:pt idx="3">
                    <c:v>1.0095048291117783</c:v>
                  </c:pt>
                  <c:pt idx="4">
                    <c:v>1.8293805873391411</c:v>
                  </c:pt>
                  <c:pt idx="5">
                    <c:v>2.1882032203004709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graphs'!$A$51:$A$56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graphs'!$B$51:$B$56</c:f>
              <c:numCache>
                <c:formatCode>General</c:formatCode>
                <c:ptCount val="6"/>
                <c:pt idx="0">
                  <c:v>6.3E-2</c:v>
                </c:pt>
                <c:pt idx="1">
                  <c:v>1.4533333333333331</c:v>
                </c:pt>
                <c:pt idx="2">
                  <c:v>7.1000000000000005</c:v>
                </c:pt>
                <c:pt idx="3">
                  <c:v>8.57</c:v>
                </c:pt>
                <c:pt idx="4">
                  <c:v>10.543333333333335</c:v>
                </c:pt>
                <c:pt idx="5">
                  <c:v>9.8633333333333333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130440"/>
        <c:axId val="443130048"/>
      </c:scatterChart>
      <c:valAx>
        <c:axId val="455633648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455634040"/>
        <c:crosses val="autoZero"/>
        <c:crossBetween val="midCat"/>
      </c:valAx>
      <c:valAx>
        <c:axId val="45563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5633648"/>
        <c:crosses val="autoZero"/>
        <c:crossBetween val="midCat"/>
      </c:valAx>
      <c:valAx>
        <c:axId val="4431300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443130440"/>
        <c:crosses val="max"/>
        <c:crossBetween val="midCat"/>
      </c:valAx>
      <c:valAx>
        <c:axId val="443130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3130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50% glucose : 50% xylose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604491165322155"/>
          <c:y val="0.15165857937128802"/>
          <c:w val="0.73482955412220596"/>
          <c:h val="0.63409282792751887"/>
        </c:manualLayout>
      </c:layout>
      <c:scatterChart>
        <c:scatterStyle val="lineMarker"/>
        <c:varyColors val="0"/>
        <c:ser>
          <c:idx val="1"/>
          <c:order val="1"/>
          <c:tx>
            <c:strRef>
              <c:f>'R. min kinetics'!$E$47</c:f>
              <c:strCache>
                <c:ptCount val="1"/>
                <c:pt idx="0">
                  <c:v>Glucose (y = 0.00059x + 0.013)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'R. min kinetics'!$A$48:$A$53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kinetics'!$E$48:$E$53</c:f>
              <c:numCache>
                <c:formatCode>General</c:formatCode>
                <c:ptCount val="6"/>
                <c:pt idx="0">
                  <c:v>0</c:v>
                </c:pt>
                <c:pt idx="1">
                  <c:v>0.11856953170632617</c:v>
                </c:pt>
                <c:pt idx="2">
                  <c:v>0.34505883286873218</c:v>
                </c:pt>
                <c:pt idx="3">
                  <c:v>0.41622527278766502</c:v>
                </c:pt>
                <c:pt idx="4">
                  <c:v>0.66429078573024669</c:v>
                </c:pt>
                <c:pt idx="5">
                  <c:v>0.71815332822493738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kinetics'!$G$47</c:f>
              <c:strCache>
                <c:ptCount val="1"/>
                <c:pt idx="0">
                  <c:v>Xylose (y = 0.0026x - 0.0252)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trendline>
            <c:spPr>
              <a:ln w="6350">
                <a:solidFill>
                  <a:schemeClr val="tx1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'R. min kinetics'!$A$48:$A$53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kinetics'!$G$48:$G$53</c:f>
              <c:numCache>
                <c:formatCode>General</c:formatCode>
                <c:ptCount val="6"/>
                <c:pt idx="0">
                  <c:v>0</c:v>
                </c:pt>
                <c:pt idx="1">
                  <c:v>2.501441461619067E-2</c:v>
                </c:pt>
                <c:pt idx="2">
                  <c:v>9.3054074087032521E-2</c:v>
                </c:pt>
                <c:pt idx="3">
                  <c:v>0.11333128832968013</c:v>
                </c:pt>
                <c:pt idx="4">
                  <c:v>0.27529779595085097</c:v>
                </c:pt>
                <c:pt idx="5">
                  <c:v>0.30555640849257898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560568"/>
        <c:axId val="561560960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kinetics'!$B$47</c:f>
              <c:strCache>
                <c:ptCount val="1"/>
                <c:pt idx="0">
                  <c:v>OD 600 </c:v>
                </c:pt>
              </c:strCache>
            </c:strRef>
          </c:tx>
          <c:spPr>
            <a:ln w="6350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'R. min kinetics'!$C$48:$C$53</c:f>
                <c:numCache>
                  <c:formatCode>General</c:formatCode>
                  <c:ptCount val="6"/>
                  <c:pt idx="0">
                    <c:v>1.1015141094572134E-2</c:v>
                  </c:pt>
                  <c:pt idx="1">
                    <c:v>2.5166114784235857E-2</c:v>
                  </c:pt>
                  <c:pt idx="2">
                    <c:v>0.44792112400883016</c:v>
                  </c:pt>
                  <c:pt idx="3">
                    <c:v>0.52319531088622528</c:v>
                  </c:pt>
                  <c:pt idx="4">
                    <c:v>2.6733000829187286</c:v>
                  </c:pt>
                  <c:pt idx="5">
                    <c:v>2.4252010225958571</c:v>
                  </c:pt>
                </c:numCache>
              </c:numRef>
            </c:plus>
            <c:minus>
              <c:numRef>
                <c:f>'R. min kinetics'!$C$48:$C$53</c:f>
                <c:numCache>
                  <c:formatCode>General</c:formatCode>
                  <c:ptCount val="6"/>
                  <c:pt idx="0">
                    <c:v>1.1015141094572134E-2</c:v>
                  </c:pt>
                  <c:pt idx="1">
                    <c:v>2.5166114784235857E-2</c:v>
                  </c:pt>
                  <c:pt idx="2">
                    <c:v>0.44792112400883016</c:v>
                  </c:pt>
                  <c:pt idx="3">
                    <c:v>0.52319531088622528</c:v>
                  </c:pt>
                  <c:pt idx="4">
                    <c:v>2.6733000829187286</c:v>
                  </c:pt>
                  <c:pt idx="5">
                    <c:v>2.4252010225958571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kinetics'!$A$48:$A$53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kinetics'!$B$48:$B$53</c:f>
              <c:numCache>
                <c:formatCode>General</c:formatCode>
                <c:ptCount val="6"/>
                <c:pt idx="0">
                  <c:v>6.7333333333333342E-2</c:v>
                </c:pt>
                <c:pt idx="1">
                  <c:v>1.6553333333333331</c:v>
                </c:pt>
                <c:pt idx="2">
                  <c:v>8.3833333333333329</c:v>
                </c:pt>
                <c:pt idx="3">
                  <c:v>10.266666666666667</c:v>
                </c:pt>
                <c:pt idx="4">
                  <c:v>12.373333333333335</c:v>
                </c:pt>
                <c:pt idx="5">
                  <c:v>12.299999999999999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2592"/>
        <c:axId val="560822200"/>
      </c:scatterChart>
      <c:valAx>
        <c:axId val="561560568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560960"/>
        <c:crosses val="autoZero"/>
        <c:crossBetween val="midCat"/>
      </c:valAx>
      <c:valAx>
        <c:axId val="561560960"/>
        <c:scaling>
          <c:orientation val="minMax"/>
          <c:max val="1.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([sugar]</a:t>
                </a:r>
                <a:r>
                  <a:rPr lang="en-US" baseline="-25000"/>
                  <a:t>t0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560568"/>
        <c:crosses val="autoZero"/>
        <c:crossBetween val="midCat"/>
        <c:majorUnit val="0.2"/>
      </c:valAx>
      <c:valAx>
        <c:axId val="560822200"/>
        <c:scaling>
          <c:orientation val="minMax"/>
          <c:max val="18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2592"/>
        <c:crosses val="max"/>
        <c:crossBetween val="midCat"/>
        <c:majorUnit val="2"/>
      </c:valAx>
      <c:valAx>
        <c:axId val="560822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822200"/>
        <c:crosses val="autoZero"/>
        <c:crossBetween val="midCat"/>
      </c:valAx>
    </c:plotArea>
    <c:legend>
      <c:legendPos val="t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303825953267456"/>
          <c:y val="0.13420460948483837"/>
          <c:w val="0.56546339956168079"/>
          <c:h val="0.26709264010532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25% Glucose : 75% Xylose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'R. min kinetics'!$E$56</c:f>
              <c:strCache>
                <c:ptCount val="1"/>
                <c:pt idx="0">
                  <c:v>Glucose (y = 0.0098x + 0.0206)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kinetics'!$A$57:$A$62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kinetics'!$E$57:$E$62</c:f>
              <c:numCache>
                <c:formatCode>General</c:formatCode>
                <c:ptCount val="6"/>
                <c:pt idx="0">
                  <c:v>0</c:v>
                </c:pt>
                <c:pt idx="1">
                  <c:v>0.18817269340700224</c:v>
                </c:pt>
                <c:pt idx="2">
                  <c:v>0.52963823809472088</c:v>
                </c:pt>
                <c:pt idx="3">
                  <c:v>0.76070799550683688</c:v>
                </c:pt>
                <c:pt idx="4">
                  <c:v>1.0776268832680787</c:v>
                </c:pt>
                <c:pt idx="5">
                  <c:v>1.1861752122699469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kinetics'!$G$56</c:f>
              <c:strCache>
                <c:ptCount val="1"/>
                <c:pt idx="0">
                  <c:v>Xylose (y = 0.0027x - 0.007)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3">
                    <a:lumMod val="75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kinetics'!$A$57:$A$62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kinetics'!$G$57:$G$62</c:f>
              <c:numCache>
                <c:formatCode>General</c:formatCode>
                <c:ptCount val="6"/>
                <c:pt idx="0">
                  <c:v>0</c:v>
                </c:pt>
                <c:pt idx="1">
                  <c:v>5.2015971552342305E-2</c:v>
                </c:pt>
                <c:pt idx="2">
                  <c:v>9.7789702641448761E-2</c:v>
                </c:pt>
                <c:pt idx="3">
                  <c:v>0.18203811419045021</c:v>
                </c:pt>
                <c:pt idx="4">
                  <c:v>0.31668467793310745</c:v>
                </c:pt>
                <c:pt idx="5">
                  <c:v>0.29227771853200102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3376"/>
        <c:axId val="560823768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kinetics'!$B$56</c:f>
              <c:strCache>
                <c:ptCount val="1"/>
                <c:pt idx="0">
                  <c:v>OD 600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kinetics'!$C$57:$C$62</c:f>
                <c:numCache>
                  <c:formatCode>General</c:formatCode>
                  <c:ptCount val="6"/>
                  <c:pt idx="0">
                    <c:v>8.3266639978645304E-3</c:v>
                  </c:pt>
                  <c:pt idx="1">
                    <c:v>4.2158431343366248E-2</c:v>
                  </c:pt>
                  <c:pt idx="2">
                    <c:v>0.35004761580866833</c:v>
                  </c:pt>
                  <c:pt idx="3">
                    <c:v>0.15044378795195709</c:v>
                  </c:pt>
                  <c:pt idx="4">
                    <c:v>1.5821925715074505</c:v>
                  </c:pt>
                  <c:pt idx="5">
                    <c:v>2.1546538778498188</c:v>
                  </c:pt>
                </c:numCache>
              </c:numRef>
            </c:plus>
            <c:minus>
              <c:numRef>
                <c:f>'R. min kinetics'!$C$57:$C$62</c:f>
                <c:numCache>
                  <c:formatCode>General</c:formatCode>
                  <c:ptCount val="6"/>
                  <c:pt idx="0">
                    <c:v>8.3266639978645304E-3</c:v>
                  </c:pt>
                  <c:pt idx="1">
                    <c:v>4.2158431343366248E-2</c:v>
                  </c:pt>
                  <c:pt idx="2">
                    <c:v>0.35004761580866833</c:v>
                  </c:pt>
                  <c:pt idx="3">
                    <c:v>0.15044378795195709</c:v>
                  </c:pt>
                  <c:pt idx="4">
                    <c:v>1.5821925715074505</c:v>
                  </c:pt>
                  <c:pt idx="5">
                    <c:v>2.1546538778498188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kinetics'!$A$57:$A$62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kinetics'!$B$57:$B$62</c:f>
              <c:numCache>
                <c:formatCode>General</c:formatCode>
                <c:ptCount val="6"/>
                <c:pt idx="0">
                  <c:v>6.8333333333333329E-2</c:v>
                </c:pt>
                <c:pt idx="1">
                  <c:v>1.6066666666666665</c:v>
                </c:pt>
                <c:pt idx="2">
                  <c:v>7.8433333333333337</c:v>
                </c:pt>
                <c:pt idx="3">
                  <c:v>9.7433333333333341</c:v>
                </c:pt>
                <c:pt idx="4">
                  <c:v>11.606666666666667</c:v>
                </c:pt>
                <c:pt idx="5">
                  <c:v>11.853333333333333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4552"/>
        <c:axId val="560824160"/>
      </c:scatterChart>
      <c:valAx>
        <c:axId val="56082337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3768"/>
        <c:crosses val="autoZero"/>
        <c:crossBetween val="midCat"/>
      </c:valAx>
      <c:valAx>
        <c:axId val="560823768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([sugat]</a:t>
                </a:r>
                <a:r>
                  <a:rPr lang="en-US" baseline="-25000"/>
                  <a:t>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3376"/>
        <c:crosses val="autoZero"/>
        <c:crossBetween val="midCat"/>
      </c:valAx>
      <c:valAx>
        <c:axId val="560824160"/>
        <c:scaling>
          <c:orientation val="minMax"/>
          <c:max val="2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4552"/>
        <c:crosses val="max"/>
        <c:crossBetween val="midCat"/>
      </c:valAx>
      <c:valAx>
        <c:axId val="560824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82416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100% Xylose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790529308836397"/>
          <c:y val="0.19480351414406533"/>
          <c:w val="0.54252274715660542"/>
          <c:h val="0.59104512977544477"/>
        </c:manualLayout>
      </c:layout>
      <c:scatterChart>
        <c:scatterStyle val="lineMarker"/>
        <c:varyColors val="0"/>
        <c:ser>
          <c:idx val="1"/>
          <c:order val="1"/>
          <c:tx>
            <c:strRef>
              <c:f>'R. min kinetics'!$E$65</c:f>
              <c:strCache>
                <c:ptCount val="1"/>
                <c:pt idx="0">
                  <c:v>Glucose (y = 0.0127x + 0.0274)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2"/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kinetics'!$A$66:$A$71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kinetics'!$E$66:$E$71</c:f>
              <c:numCache>
                <c:formatCode>General</c:formatCode>
                <c:ptCount val="6"/>
                <c:pt idx="0">
                  <c:v>0</c:v>
                </c:pt>
                <c:pt idx="1">
                  <c:v>0.22442768486627868</c:v>
                </c:pt>
                <c:pt idx="2">
                  <c:v>0.68608900193535838</c:v>
                </c:pt>
                <c:pt idx="3">
                  <c:v>1.0424199273662484</c:v>
                </c:pt>
                <c:pt idx="4">
                  <c:v>1.2620356154500452</c:v>
                </c:pt>
                <c:pt idx="5">
                  <c:v>1.630472828984735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'R. min kinetics'!$G$65</c:f>
              <c:strCache>
                <c:ptCount val="1"/>
                <c:pt idx="0">
                  <c:v>Xylose (y = 0.003x - 0.0251)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chemeClr val="accent3">
                    <a:lumMod val="75000"/>
                  </a:schemeClr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kinetics'!$A$66:$A$71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kinetics'!$G$66:$G$71</c:f>
              <c:numCache>
                <c:formatCode>General</c:formatCode>
                <c:ptCount val="6"/>
                <c:pt idx="0">
                  <c:v>0</c:v>
                </c:pt>
                <c:pt idx="1">
                  <c:v>1.8700369163718852E-2</c:v>
                </c:pt>
                <c:pt idx="2">
                  <c:v>9.2034099346429449E-2</c:v>
                </c:pt>
                <c:pt idx="3">
                  <c:v>0.18616351885535118</c:v>
                </c:pt>
                <c:pt idx="4">
                  <c:v>0.32206967030135153</c:v>
                </c:pt>
                <c:pt idx="5">
                  <c:v>0.32211502970270378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5336"/>
        <c:axId val="560825728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kinetics'!$B$65</c:f>
              <c:strCache>
                <c:ptCount val="1"/>
                <c:pt idx="0">
                  <c:v>OD 600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kinetics'!$C$66:$C$71</c:f>
                <c:numCache>
                  <c:formatCode>General</c:formatCode>
                  <c:ptCount val="6"/>
                  <c:pt idx="0">
                    <c:v>7.0000000000000019E-3</c:v>
                  </c:pt>
                  <c:pt idx="1">
                    <c:v>6.7121779873103346E-2</c:v>
                  </c:pt>
                  <c:pt idx="2">
                    <c:v>0.75345869163478352</c:v>
                  </c:pt>
                  <c:pt idx="3">
                    <c:v>1.0095048291117783</c:v>
                  </c:pt>
                  <c:pt idx="4">
                    <c:v>1.8293805873391411</c:v>
                  </c:pt>
                  <c:pt idx="5">
                    <c:v>2.1882032203004709</c:v>
                  </c:pt>
                </c:numCache>
              </c:numRef>
            </c:plus>
            <c:minus>
              <c:numRef>
                <c:f>'R. min kinetics'!$C$66:$C$71</c:f>
                <c:numCache>
                  <c:formatCode>General</c:formatCode>
                  <c:ptCount val="6"/>
                  <c:pt idx="0">
                    <c:v>7.0000000000000019E-3</c:v>
                  </c:pt>
                  <c:pt idx="1">
                    <c:v>6.7121779873103346E-2</c:v>
                  </c:pt>
                  <c:pt idx="2">
                    <c:v>0.75345869163478352</c:v>
                  </c:pt>
                  <c:pt idx="3">
                    <c:v>1.0095048291117783</c:v>
                  </c:pt>
                  <c:pt idx="4">
                    <c:v>1.8293805873391411</c:v>
                  </c:pt>
                  <c:pt idx="5">
                    <c:v>2.1882032203004709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kinetics'!$A$66:$A$71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kinetics'!$B$66:$B$71</c:f>
              <c:numCache>
                <c:formatCode>General</c:formatCode>
                <c:ptCount val="6"/>
                <c:pt idx="0">
                  <c:v>6.3E-2</c:v>
                </c:pt>
                <c:pt idx="1">
                  <c:v>1.4533333333333331</c:v>
                </c:pt>
                <c:pt idx="2">
                  <c:v>7.1000000000000005</c:v>
                </c:pt>
                <c:pt idx="3">
                  <c:v>8.57</c:v>
                </c:pt>
                <c:pt idx="4">
                  <c:v>10.543333333333335</c:v>
                </c:pt>
                <c:pt idx="5">
                  <c:v>9.8633333333333333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6512"/>
        <c:axId val="560826120"/>
      </c:scatterChart>
      <c:valAx>
        <c:axId val="56082533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5728"/>
        <c:crosses val="autoZero"/>
        <c:crossBetween val="midCat"/>
      </c:valAx>
      <c:valAx>
        <c:axId val="560825728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([sugat]</a:t>
                </a:r>
                <a:r>
                  <a:rPr lang="en-US" baseline="-25000"/>
                  <a:t>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5336"/>
        <c:crosses val="autoZero"/>
        <c:crossBetween val="midCat"/>
      </c:valAx>
      <c:valAx>
        <c:axId val="560826120"/>
        <c:scaling>
          <c:orientation val="minMax"/>
          <c:max val="2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6512"/>
        <c:crosses val="max"/>
        <c:crossBetween val="midCat"/>
        <c:majorUnit val="2"/>
      </c:valAx>
      <c:valAx>
        <c:axId val="56082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82612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100% Glucose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'R. min kinetics'!$E$19</c:f>
              <c:strCache>
                <c:ptCount val="1"/>
                <c:pt idx="0">
                  <c:v>Glucose (y = 0.0065x - 0.0072)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25400"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'R. min kinetics'!$A$20:$A$25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kinetics'!$E$20:$E$25</c:f>
              <c:numCache>
                <c:formatCode>General</c:formatCode>
                <c:ptCount val="6"/>
                <c:pt idx="0">
                  <c:v>0</c:v>
                </c:pt>
                <c:pt idx="1">
                  <c:v>0.10155381651959629</c:v>
                </c:pt>
                <c:pt idx="2">
                  <c:v>0.2998909478253417</c:v>
                </c:pt>
                <c:pt idx="3">
                  <c:v>0.48056454568957369</c:v>
                </c:pt>
                <c:pt idx="4">
                  <c:v>0.71778732778254772</c:v>
                </c:pt>
                <c:pt idx="5">
                  <c:v>0.75803212687999522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7296"/>
        <c:axId val="560827688"/>
      </c:scatterChart>
      <c:scatterChart>
        <c:scatterStyle val="smoothMarker"/>
        <c:varyColors val="0"/>
        <c:ser>
          <c:idx val="0"/>
          <c:order val="0"/>
          <c:tx>
            <c:strRef>
              <c:f>'R. min kinetics'!$B$19</c:f>
              <c:strCache>
                <c:ptCount val="1"/>
                <c:pt idx="0">
                  <c:v>OD 600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'R. min kinetics'!$C$20:$C$25</c:f>
                <c:numCache>
                  <c:formatCode>General</c:formatCode>
                  <c:ptCount val="6"/>
                  <c:pt idx="0">
                    <c:v>1.2503332889007355E-2</c:v>
                  </c:pt>
                  <c:pt idx="1">
                    <c:v>2.200000000000002E-2</c:v>
                  </c:pt>
                  <c:pt idx="2">
                    <c:v>7.0237691685685194E-2</c:v>
                  </c:pt>
                  <c:pt idx="3">
                    <c:v>0.35004761580866839</c:v>
                  </c:pt>
                  <c:pt idx="4">
                    <c:v>2.7197794028192694</c:v>
                  </c:pt>
                  <c:pt idx="5">
                    <c:v>3.0392323592205575</c:v>
                  </c:pt>
                </c:numCache>
              </c:numRef>
            </c:plus>
            <c:minus>
              <c:numRef>
                <c:f>'R. min kinetics'!$C$20:$C$26</c:f>
                <c:numCache>
                  <c:formatCode>General</c:formatCode>
                  <c:ptCount val="7"/>
                  <c:pt idx="0">
                    <c:v>1.2503332889007355E-2</c:v>
                  </c:pt>
                  <c:pt idx="1">
                    <c:v>2.200000000000002E-2</c:v>
                  </c:pt>
                  <c:pt idx="2">
                    <c:v>7.0237691685685194E-2</c:v>
                  </c:pt>
                  <c:pt idx="3">
                    <c:v>0.35004761580866839</c:v>
                  </c:pt>
                  <c:pt idx="4">
                    <c:v>2.7197794028192694</c:v>
                  </c:pt>
                  <c:pt idx="5">
                    <c:v>3.0392323592205575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'R. min kinetics'!$A$20:$A$25</c:f>
              <c:numCache>
                <c:formatCode>General</c:formatCode>
                <c:ptCount val="6"/>
                <c:pt idx="0">
                  <c:v>0</c:v>
                </c:pt>
                <c:pt idx="1">
                  <c:v>23</c:v>
                </c:pt>
                <c:pt idx="2">
                  <c:v>46</c:v>
                </c:pt>
                <c:pt idx="3">
                  <c:v>67</c:v>
                </c:pt>
                <c:pt idx="4">
                  <c:v>112</c:v>
                </c:pt>
                <c:pt idx="5">
                  <c:v>120</c:v>
                </c:pt>
              </c:numCache>
            </c:numRef>
          </c:xVal>
          <c:yVal>
            <c:numRef>
              <c:f>'R. min kinetics'!$B$20:$B$25</c:f>
              <c:numCache>
                <c:formatCode>General</c:formatCode>
                <c:ptCount val="6"/>
                <c:pt idx="0">
                  <c:v>5.4333333333333338E-2</c:v>
                </c:pt>
                <c:pt idx="1">
                  <c:v>1.79</c:v>
                </c:pt>
                <c:pt idx="2">
                  <c:v>9.5066666666666659</c:v>
                </c:pt>
                <c:pt idx="3">
                  <c:v>11.766666666666666</c:v>
                </c:pt>
                <c:pt idx="4">
                  <c:v>14.680000000000001</c:v>
                </c:pt>
                <c:pt idx="5">
                  <c:v>14.353333333333333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8472"/>
        <c:axId val="560828080"/>
      </c:scatterChart>
      <c:valAx>
        <c:axId val="560827296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7688"/>
        <c:crosses val="autoZero"/>
        <c:crossBetween val="midCat"/>
      </c:valAx>
      <c:valAx>
        <c:axId val="560827688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([sugat]</a:t>
                </a:r>
                <a:r>
                  <a:rPr lang="en-US" baseline="-25000"/>
                  <a:t>0</a:t>
                </a:r>
                <a:r>
                  <a:rPr lang="en-US"/>
                  <a:t>/[sugar]</a:t>
                </a:r>
                <a:r>
                  <a:rPr lang="en-US" baseline="-25000"/>
                  <a:t>t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7296"/>
        <c:crosses val="autoZero"/>
        <c:crossBetween val="midCat"/>
        <c:majorUnit val="0.2"/>
      </c:valAx>
      <c:valAx>
        <c:axId val="5608280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 (-)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0828472"/>
        <c:crosses val="max"/>
        <c:crossBetween val="midCat"/>
      </c:valAx>
      <c:valAx>
        <c:axId val="560828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828080"/>
        <c:crosses val="autoZero"/>
        <c:crossBetween val="midCat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509587</xdr:colOff>
      <xdr:row>1</xdr:row>
      <xdr:rowOff>100012</xdr:rowOff>
    </xdr:from>
    <xdr:to>
      <xdr:col>15</xdr:col>
      <xdr:colOff>204787</xdr:colOff>
      <xdr:row>15</xdr:row>
      <xdr:rowOff>166687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547687</xdr:colOff>
      <xdr:row>17</xdr:row>
      <xdr:rowOff>4762</xdr:rowOff>
    </xdr:from>
    <xdr:to>
      <xdr:col>15</xdr:col>
      <xdr:colOff>242887</xdr:colOff>
      <xdr:row>31</xdr:row>
      <xdr:rowOff>80962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538162</xdr:colOff>
      <xdr:row>32</xdr:row>
      <xdr:rowOff>61912</xdr:rowOff>
    </xdr:from>
    <xdr:to>
      <xdr:col>15</xdr:col>
      <xdr:colOff>233362</xdr:colOff>
      <xdr:row>46</xdr:row>
      <xdr:rowOff>138112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519112</xdr:colOff>
      <xdr:row>47</xdr:row>
      <xdr:rowOff>109537</xdr:rowOff>
    </xdr:from>
    <xdr:to>
      <xdr:col>15</xdr:col>
      <xdr:colOff>214312</xdr:colOff>
      <xdr:row>61</xdr:row>
      <xdr:rowOff>185737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500062</xdr:colOff>
      <xdr:row>62</xdr:row>
      <xdr:rowOff>128587</xdr:rowOff>
    </xdr:from>
    <xdr:to>
      <xdr:col>15</xdr:col>
      <xdr:colOff>195262</xdr:colOff>
      <xdr:row>77</xdr:row>
      <xdr:rowOff>14287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306561</xdr:colOff>
      <xdr:row>32</xdr:row>
      <xdr:rowOff>73159</xdr:rowOff>
    </xdr:from>
    <xdr:to>
      <xdr:col>17</xdr:col>
      <xdr:colOff>116416</xdr:colOff>
      <xdr:row>46</xdr:row>
      <xdr:rowOff>126947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284503</xdr:colOff>
      <xdr:row>48</xdr:row>
      <xdr:rowOff>5478</xdr:rowOff>
    </xdr:from>
    <xdr:to>
      <xdr:col>29</xdr:col>
      <xdr:colOff>6845</xdr:colOff>
      <xdr:row>62</xdr:row>
      <xdr:rowOff>70472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283882</xdr:colOff>
      <xdr:row>63</xdr:row>
      <xdr:rowOff>104463</xdr:rowOff>
    </xdr:from>
    <xdr:to>
      <xdr:col>29</xdr:col>
      <xdr:colOff>6224</xdr:colOff>
      <xdr:row>77</xdr:row>
      <xdr:rowOff>169457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135714</xdr:colOff>
      <xdr:row>2</xdr:row>
      <xdr:rowOff>120649</xdr:rowOff>
    </xdr:from>
    <xdr:to>
      <xdr:col>26</xdr:col>
      <xdr:colOff>471889</xdr:colOff>
      <xdr:row>17</xdr:row>
      <xdr:rowOff>6349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146299</xdr:colOff>
      <xdr:row>17</xdr:row>
      <xdr:rowOff>153644</xdr:rowOff>
    </xdr:from>
    <xdr:to>
      <xdr:col>26</xdr:col>
      <xdr:colOff>482474</xdr:colOff>
      <xdr:row>32</xdr:row>
      <xdr:rowOff>16933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48</xdr:row>
      <xdr:rowOff>0</xdr:rowOff>
    </xdr:from>
    <xdr:to>
      <xdr:col>16</xdr:col>
      <xdr:colOff>423689</xdr:colOff>
      <xdr:row>62</xdr:row>
      <xdr:rowOff>64372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65</xdr:row>
      <xdr:rowOff>0</xdr:rowOff>
    </xdr:from>
    <xdr:to>
      <xdr:col>16</xdr:col>
      <xdr:colOff>423689</xdr:colOff>
      <xdr:row>79</xdr:row>
      <xdr:rowOff>74955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222250</xdr:colOff>
      <xdr:row>17</xdr:row>
      <xdr:rowOff>169333</xdr:rowOff>
    </xdr:from>
    <xdr:to>
      <xdr:col>17</xdr:col>
      <xdr:colOff>32105</xdr:colOff>
      <xdr:row>32</xdr:row>
      <xdr:rowOff>32622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359833</xdr:colOff>
      <xdr:row>2</xdr:row>
      <xdr:rowOff>158750</xdr:rowOff>
    </xdr:from>
    <xdr:to>
      <xdr:col>17</xdr:col>
      <xdr:colOff>169688</xdr:colOff>
      <xdr:row>17</xdr:row>
      <xdr:rowOff>43205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9"/>
  <sheetViews>
    <sheetView topLeftCell="A22" workbookViewId="0">
      <selection activeCell="AD37" sqref="AD37:AE37"/>
    </sheetView>
  </sheetViews>
  <sheetFormatPr defaultRowHeight="15" x14ac:dyDescent="0.25"/>
  <cols>
    <col min="1" max="1" width="19.7109375" bestFit="1" customWidth="1"/>
    <col min="2" max="2" width="11" bestFit="1" customWidth="1"/>
    <col min="6" max="6" width="12.85546875" bestFit="1" customWidth="1"/>
    <col min="11" max="11" width="12.85546875" bestFit="1" customWidth="1"/>
  </cols>
  <sheetData>
    <row r="1" spans="1:31" x14ac:dyDescent="0.25">
      <c r="A1" s="1" t="s">
        <v>17</v>
      </c>
    </row>
    <row r="2" spans="1:31" x14ac:dyDescent="0.25">
      <c r="B2" s="8" t="s">
        <v>11</v>
      </c>
      <c r="C2" s="8"/>
      <c r="D2" s="8"/>
      <c r="E2" s="8"/>
      <c r="F2" s="8"/>
      <c r="G2" s="8" t="s">
        <v>12</v>
      </c>
      <c r="H2" s="8"/>
      <c r="I2" s="8"/>
      <c r="J2" s="8"/>
      <c r="K2" s="8"/>
      <c r="L2" s="8" t="s">
        <v>13</v>
      </c>
      <c r="M2" s="8"/>
      <c r="N2" s="8"/>
      <c r="O2" s="8"/>
      <c r="P2" s="8"/>
      <c r="Q2" s="8" t="s">
        <v>14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</row>
    <row r="3" spans="1:31" x14ac:dyDescent="0.25">
      <c r="A3" t="s">
        <v>0</v>
      </c>
      <c r="B3" t="s">
        <v>6</v>
      </c>
      <c r="C3" t="s">
        <v>7</v>
      </c>
      <c r="D3" t="s">
        <v>8</v>
      </c>
      <c r="E3" s="1" t="s">
        <v>9</v>
      </c>
      <c r="F3" s="1" t="s">
        <v>10</v>
      </c>
      <c r="G3" t="s">
        <v>6</v>
      </c>
      <c r="H3" t="s">
        <v>7</v>
      </c>
      <c r="I3" t="s">
        <v>8</v>
      </c>
      <c r="J3" s="1" t="s">
        <v>9</v>
      </c>
      <c r="K3" s="1" t="s">
        <v>10</v>
      </c>
      <c r="L3" t="s">
        <v>6</v>
      </c>
      <c r="M3" t="s">
        <v>7</v>
      </c>
      <c r="N3" t="s">
        <v>8</v>
      </c>
      <c r="O3" s="1" t="s">
        <v>9</v>
      </c>
      <c r="P3" s="1" t="s">
        <v>10</v>
      </c>
      <c r="Q3" t="s">
        <v>6</v>
      </c>
      <c r="R3" t="s">
        <v>7</v>
      </c>
      <c r="S3" t="s">
        <v>8</v>
      </c>
      <c r="T3" s="1" t="s">
        <v>9</v>
      </c>
      <c r="U3" s="1" t="s">
        <v>10</v>
      </c>
      <c r="V3" t="s">
        <v>6</v>
      </c>
      <c r="W3" t="s">
        <v>7</v>
      </c>
      <c r="X3" t="s">
        <v>8</v>
      </c>
      <c r="Y3" s="1" t="s">
        <v>9</v>
      </c>
      <c r="Z3" s="1" t="s">
        <v>10</v>
      </c>
      <c r="AA3" t="s">
        <v>6</v>
      </c>
      <c r="AB3" t="s">
        <v>7</v>
      </c>
      <c r="AC3" t="s">
        <v>8</v>
      </c>
      <c r="AD3" s="1" t="s">
        <v>9</v>
      </c>
      <c r="AE3" s="1" t="s">
        <v>10</v>
      </c>
    </row>
    <row r="4" spans="1:31" x14ac:dyDescent="0.25">
      <c r="A4" t="s">
        <v>1</v>
      </c>
      <c r="B4">
        <v>0.05</v>
      </c>
      <c r="C4">
        <v>4.4999999999999998E-2</v>
      </c>
      <c r="D4">
        <v>5.2999999999999999E-2</v>
      </c>
      <c r="E4" s="1">
        <f>AVERAGE(B4:D4)</f>
        <v>4.9333333333333333E-2</v>
      </c>
      <c r="F4" s="1">
        <f>STDEV(B4:D4)</f>
        <v>4.0414518843273801E-3</v>
      </c>
      <c r="G4">
        <v>1.556</v>
      </c>
      <c r="H4">
        <v>1.8260000000000001</v>
      </c>
      <c r="I4">
        <v>1.776</v>
      </c>
      <c r="J4" s="1">
        <f>AVERAGE(G4:I4)</f>
        <v>1.7193333333333334</v>
      </c>
      <c r="K4" s="1">
        <f>STDEV(G4:I4)</f>
        <v>0.14364307617610161</v>
      </c>
      <c r="L4">
        <v>9.08</v>
      </c>
      <c r="M4">
        <v>10.34</v>
      </c>
      <c r="N4">
        <v>9.48</v>
      </c>
      <c r="O4" s="1">
        <f>AVERAGE(L4:N4)</f>
        <v>9.6333333333333346</v>
      </c>
      <c r="P4" s="1">
        <f>STDEV(L4:N4)</f>
        <v>0.64384263087600302</v>
      </c>
      <c r="Q4">
        <v>12.06</v>
      </c>
      <c r="R4">
        <v>12.36</v>
      </c>
      <c r="S4">
        <v>11.4</v>
      </c>
      <c r="T4" s="1">
        <f>AVERAGE(Q4:S4)</f>
        <v>11.94</v>
      </c>
      <c r="U4" s="1">
        <f>STDEV(Q4:S4)</f>
        <v>0.49112116631234665</v>
      </c>
      <c r="V4">
        <v>18.600000000000001</v>
      </c>
      <c r="W4">
        <v>13.72</v>
      </c>
      <c r="X4">
        <v>12.64</v>
      </c>
      <c r="Y4" s="1">
        <f>AVERAGE(V4:X4)</f>
        <v>14.986666666666666</v>
      </c>
      <c r="Z4" s="1">
        <f>STDEV(V4:X4)</f>
        <v>3.1754894635840514</v>
      </c>
      <c r="AA4">
        <v>19.02</v>
      </c>
      <c r="AB4">
        <v>13.52</v>
      </c>
      <c r="AC4">
        <v>12.52</v>
      </c>
      <c r="AD4" s="1">
        <f>AVERAGE(AA4:AC4)</f>
        <v>15.020000000000001</v>
      </c>
      <c r="AE4" s="1">
        <f>STDEV(AA4:AC4)</f>
        <v>3.5</v>
      </c>
    </row>
    <row r="5" spans="1:31" x14ac:dyDescent="0.25">
      <c r="A5" t="s">
        <v>2</v>
      </c>
      <c r="B5">
        <v>4.1000000000000002E-2</v>
      </c>
      <c r="C5">
        <v>5.6000000000000001E-2</v>
      </c>
      <c r="D5">
        <v>6.5000000000000002E-2</v>
      </c>
      <c r="E5" s="1">
        <f t="shared" ref="E5:E8" si="0">AVERAGE(B5:D5)</f>
        <v>5.3999999999999999E-2</v>
      </c>
      <c r="F5" s="1">
        <f t="shared" ref="F5:F8" si="1">STDEV(B5:D5)</f>
        <v>1.212435565298216E-2</v>
      </c>
      <c r="G5">
        <v>1.43</v>
      </c>
      <c r="H5">
        <v>1.754</v>
      </c>
      <c r="I5">
        <v>1.6719999999999999</v>
      </c>
      <c r="J5" s="1">
        <f t="shared" ref="J5:J8" si="2">AVERAGE(G5:I5)</f>
        <v>1.6186666666666667</v>
      </c>
      <c r="K5" s="1">
        <f t="shared" ref="K5:K8" si="3">STDEV(G5:I5)</f>
        <v>0.16845573107891978</v>
      </c>
      <c r="L5">
        <v>7.78</v>
      </c>
      <c r="M5">
        <v>10.06</v>
      </c>
      <c r="N5">
        <v>8.67</v>
      </c>
      <c r="O5" s="1">
        <f t="shared" ref="O5:O8" si="4">AVERAGE(L5:N5)</f>
        <v>8.836666666666666</v>
      </c>
      <c r="P5" s="1">
        <f t="shared" ref="P5:P8" si="5">STDEV(L5:N5)</f>
        <v>1.1491010979602079</v>
      </c>
      <c r="Q5">
        <v>11.66</v>
      </c>
      <c r="R5">
        <v>11.78</v>
      </c>
      <c r="S5">
        <v>10.92</v>
      </c>
      <c r="T5" s="1">
        <f t="shared" ref="T5:T8" si="6">AVERAGE(Q5:S5)</f>
        <v>11.453333333333333</v>
      </c>
      <c r="U5" s="1">
        <f t="shared" ref="U5:U8" si="7">STDEV(Q5:S5)</f>
        <v>0.46576102599222835</v>
      </c>
      <c r="V5">
        <v>17.64</v>
      </c>
      <c r="W5">
        <v>12.82</v>
      </c>
      <c r="X5">
        <v>12.34</v>
      </c>
      <c r="Y5" s="1">
        <f t="shared" ref="Y5:Y8" si="8">AVERAGE(V5:X5)</f>
        <v>14.266666666666666</v>
      </c>
      <c r="Z5" s="1">
        <f t="shared" ref="Z5:Z8" si="9">STDEV(V5:X5)</f>
        <v>2.9312340973271711</v>
      </c>
      <c r="AA5">
        <v>17.98</v>
      </c>
      <c r="AB5">
        <v>13.02</v>
      </c>
      <c r="AC5">
        <v>12.02</v>
      </c>
      <c r="AD5" s="1">
        <f t="shared" ref="AD5:AD8" si="10">AVERAGE(AA5:AC5)</f>
        <v>14.339999999999998</v>
      </c>
      <c r="AE5" s="1">
        <f t="shared" ref="AE5:AE8" si="11">STDEV(AA5:AC5)</f>
        <v>3.1917393377279537</v>
      </c>
    </row>
    <row r="6" spans="1:31" x14ac:dyDescent="0.25">
      <c r="A6" t="s">
        <v>3</v>
      </c>
      <c r="B6">
        <v>5.2999999999999999E-2</v>
      </c>
      <c r="C6">
        <v>5.8000000000000003E-2</v>
      </c>
      <c r="D6">
        <v>0.06</v>
      </c>
      <c r="E6" s="1">
        <f t="shared" si="0"/>
        <v>5.6999999999999995E-2</v>
      </c>
      <c r="F6" s="1">
        <f t="shared" si="1"/>
        <v>3.6055512754639895E-3</v>
      </c>
      <c r="G6">
        <v>1.3620000000000001</v>
      </c>
      <c r="H6">
        <v>1.754</v>
      </c>
      <c r="I6">
        <v>1.6559999999999999</v>
      </c>
      <c r="J6" s="1">
        <f t="shared" si="2"/>
        <v>1.5906666666666667</v>
      </c>
      <c r="K6" s="1">
        <f t="shared" si="3"/>
        <v>0.20400326794768006</v>
      </c>
      <c r="L6">
        <v>7.74</v>
      </c>
      <c r="M6">
        <v>9.57</v>
      </c>
      <c r="N6">
        <v>8.86</v>
      </c>
      <c r="O6" s="1">
        <f t="shared" si="4"/>
        <v>8.7233333333333345</v>
      </c>
      <c r="P6" s="1">
        <f t="shared" si="5"/>
        <v>0.92262307218784279</v>
      </c>
      <c r="Q6">
        <v>11.28</v>
      </c>
      <c r="R6">
        <v>11.2</v>
      </c>
      <c r="S6">
        <v>10.32</v>
      </c>
      <c r="T6" s="1">
        <f t="shared" si="6"/>
        <v>10.933333333333332</v>
      </c>
      <c r="U6" s="1">
        <f t="shared" si="7"/>
        <v>0.53266624947835084</v>
      </c>
      <c r="V6">
        <v>17.34</v>
      </c>
      <c r="W6">
        <v>12.26</v>
      </c>
      <c r="X6">
        <v>12.34</v>
      </c>
      <c r="Y6" s="1">
        <f t="shared" si="8"/>
        <v>13.979999999999999</v>
      </c>
      <c r="Z6" s="1">
        <f t="shared" si="9"/>
        <v>2.9101202724286233</v>
      </c>
      <c r="AA6">
        <v>16.86</v>
      </c>
      <c r="AB6">
        <v>12.08</v>
      </c>
      <c r="AC6">
        <v>11.6</v>
      </c>
      <c r="AD6" s="1">
        <f t="shared" si="10"/>
        <v>13.513333333333334</v>
      </c>
      <c r="AE6" s="1">
        <f t="shared" si="11"/>
        <v>2.9082182403205836</v>
      </c>
    </row>
    <row r="7" spans="1:31" x14ac:dyDescent="0.25">
      <c r="A7" t="s">
        <v>4</v>
      </c>
      <c r="B7">
        <v>6.0999999999999999E-2</v>
      </c>
      <c r="C7">
        <v>5.8000000000000003E-2</v>
      </c>
      <c r="D7">
        <v>6.6000000000000003E-2</v>
      </c>
      <c r="E7" s="1">
        <f t="shared" si="0"/>
        <v>6.1666666666666668E-2</v>
      </c>
      <c r="F7" s="1">
        <f t="shared" si="1"/>
        <v>4.0414518843273801E-3</v>
      </c>
      <c r="G7">
        <v>1.252</v>
      </c>
      <c r="H7">
        <v>1.6679999999999999</v>
      </c>
      <c r="I7">
        <v>1.65</v>
      </c>
      <c r="J7" s="1">
        <f t="shared" si="2"/>
        <v>1.5233333333333334</v>
      </c>
      <c r="K7" s="1">
        <f t="shared" si="3"/>
        <v>0.23515385034766584</v>
      </c>
      <c r="L7">
        <v>8.0299999999999994</v>
      </c>
      <c r="M7">
        <v>8.07</v>
      </c>
      <c r="N7">
        <v>9.34</v>
      </c>
      <c r="O7" s="1">
        <f t="shared" si="4"/>
        <v>8.48</v>
      </c>
      <c r="P7" s="1">
        <f t="shared" si="5"/>
        <v>0.74505033387013531</v>
      </c>
      <c r="Q7">
        <v>10.64</v>
      </c>
      <c r="R7">
        <v>10.1</v>
      </c>
      <c r="S7">
        <v>10.82</v>
      </c>
      <c r="T7" s="1">
        <f t="shared" si="6"/>
        <v>10.520000000000001</v>
      </c>
      <c r="U7" s="1">
        <f t="shared" si="7"/>
        <v>0.3746998799039043</v>
      </c>
      <c r="V7">
        <v>15.42</v>
      </c>
      <c r="W7">
        <v>11.26</v>
      </c>
      <c r="X7">
        <v>12.06</v>
      </c>
      <c r="Y7" s="1">
        <f t="shared" si="8"/>
        <v>12.913333333333334</v>
      </c>
      <c r="Z7" s="1">
        <f t="shared" si="9"/>
        <v>2.2073815559013146</v>
      </c>
      <c r="AA7">
        <v>16.78</v>
      </c>
      <c r="AB7">
        <v>11.36</v>
      </c>
      <c r="AC7">
        <v>11.88</v>
      </c>
      <c r="AD7" s="1">
        <f t="shared" si="10"/>
        <v>13.340000000000002</v>
      </c>
      <c r="AE7" s="1">
        <f t="shared" si="11"/>
        <v>2.9904514709321028</v>
      </c>
    </row>
    <row r="8" spans="1:31" x14ac:dyDescent="0.25">
      <c r="A8" t="s">
        <v>5</v>
      </c>
      <c r="B8">
        <v>6.2E-2</v>
      </c>
      <c r="C8">
        <v>0.06</v>
      </c>
      <c r="D8">
        <v>7.0999999999999994E-2</v>
      </c>
      <c r="E8" s="1">
        <f t="shared" si="0"/>
        <v>6.433333333333334E-2</v>
      </c>
      <c r="F8" s="1">
        <f t="shared" si="1"/>
        <v>5.8594652770823132E-3</v>
      </c>
      <c r="G8">
        <v>1.1359999999999999</v>
      </c>
      <c r="H8">
        <v>1.49</v>
      </c>
      <c r="I8">
        <v>1.36</v>
      </c>
      <c r="J8" s="1">
        <f t="shared" si="2"/>
        <v>1.3286666666666667</v>
      </c>
      <c r="K8" s="1">
        <f t="shared" si="3"/>
        <v>0.17906795730485567</v>
      </c>
      <c r="L8">
        <v>7.22</v>
      </c>
      <c r="M8">
        <v>7.4</v>
      </c>
      <c r="N8">
        <v>7.18</v>
      </c>
      <c r="O8" s="1">
        <f t="shared" si="4"/>
        <v>7.2666666666666666</v>
      </c>
      <c r="P8" s="1">
        <f t="shared" si="5"/>
        <v>0.11718930554164667</v>
      </c>
      <c r="Q8">
        <v>9.94</v>
      </c>
      <c r="R8">
        <v>9.27</v>
      </c>
      <c r="S8">
        <v>9.42</v>
      </c>
      <c r="T8" s="1">
        <f t="shared" si="6"/>
        <v>9.5433333333333348</v>
      </c>
      <c r="U8" s="1">
        <f t="shared" si="7"/>
        <v>0.35161532010612573</v>
      </c>
      <c r="V8">
        <v>14.46</v>
      </c>
      <c r="W8">
        <v>11.18</v>
      </c>
      <c r="X8">
        <v>11.4</v>
      </c>
      <c r="Y8" s="1">
        <f t="shared" si="8"/>
        <v>12.346666666666666</v>
      </c>
      <c r="Z8" s="1">
        <f t="shared" si="9"/>
        <v>1.8335030224500171</v>
      </c>
      <c r="AA8">
        <v>15.1</v>
      </c>
      <c r="AB8">
        <v>10.86</v>
      </c>
      <c r="AC8">
        <v>10.7</v>
      </c>
      <c r="AD8" s="1">
        <f t="shared" si="10"/>
        <v>12.219999999999999</v>
      </c>
      <c r="AE8" s="1">
        <f t="shared" si="11"/>
        <v>2.4954358336771576</v>
      </c>
    </row>
    <row r="11" spans="1:31" x14ac:dyDescent="0.25">
      <c r="A11" s="1" t="s">
        <v>20</v>
      </c>
    </row>
    <row r="12" spans="1:31" x14ac:dyDescent="0.25">
      <c r="B12" s="8" t="s">
        <v>11</v>
      </c>
      <c r="C12" s="8"/>
      <c r="D12" s="8"/>
      <c r="E12" s="8"/>
      <c r="F12" s="8"/>
      <c r="G12" s="8" t="s">
        <v>12</v>
      </c>
      <c r="H12" s="8"/>
      <c r="I12" s="8"/>
      <c r="J12" s="8"/>
      <c r="K12" s="8"/>
      <c r="L12" s="8" t="s">
        <v>13</v>
      </c>
      <c r="M12" s="8"/>
      <c r="N12" s="8"/>
      <c r="O12" s="8"/>
      <c r="P12" s="8"/>
      <c r="Q12" s="8" t="s">
        <v>14</v>
      </c>
      <c r="R12" s="8"/>
      <c r="S12" s="8"/>
      <c r="T12" s="8"/>
      <c r="U12" s="8"/>
      <c r="V12" s="8" t="s">
        <v>15</v>
      </c>
      <c r="W12" s="8"/>
      <c r="X12" s="8"/>
      <c r="Y12" s="8"/>
      <c r="Z12" s="8"/>
      <c r="AA12" s="8" t="s">
        <v>16</v>
      </c>
      <c r="AB12" s="8"/>
      <c r="AC12" s="8"/>
      <c r="AD12" s="8"/>
      <c r="AE12" s="8"/>
    </row>
    <row r="13" spans="1:31" x14ac:dyDescent="0.25">
      <c r="A13" t="s">
        <v>0</v>
      </c>
      <c r="B13" t="s">
        <v>6</v>
      </c>
      <c r="C13" t="s">
        <v>7</v>
      </c>
      <c r="D13" t="s">
        <v>8</v>
      </c>
      <c r="E13" t="s">
        <v>9</v>
      </c>
      <c r="F13" t="s">
        <v>10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6</v>
      </c>
      <c r="M13" t="s">
        <v>7</v>
      </c>
      <c r="N13" t="s">
        <v>8</v>
      </c>
      <c r="O13" t="s">
        <v>9</v>
      </c>
      <c r="P13" t="s">
        <v>10</v>
      </c>
      <c r="Q13" t="s">
        <v>6</v>
      </c>
      <c r="R13" t="s">
        <v>7</v>
      </c>
      <c r="S13" t="s">
        <v>8</v>
      </c>
      <c r="T13" t="s">
        <v>9</v>
      </c>
      <c r="U13" t="s">
        <v>10</v>
      </c>
      <c r="V13" t="s">
        <v>6</v>
      </c>
      <c r="W13" t="s">
        <v>7</v>
      </c>
      <c r="X13" t="s">
        <v>8</v>
      </c>
      <c r="Y13" t="s">
        <v>9</v>
      </c>
      <c r="Z13" t="s">
        <v>10</v>
      </c>
      <c r="AA13" t="s">
        <v>6</v>
      </c>
      <c r="AB13" t="s">
        <v>7</v>
      </c>
      <c r="AC13" t="s">
        <v>8</v>
      </c>
      <c r="AD13" t="s">
        <v>9</v>
      </c>
      <c r="AE13" t="s">
        <v>10</v>
      </c>
    </row>
    <row r="14" spans="1:31" x14ac:dyDescent="0.25">
      <c r="A14" t="s">
        <v>1</v>
      </c>
      <c r="B14">
        <f>3656207*2</f>
        <v>7312414</v>
      </c>
      <c r="C14">
        <f>1745287*4</f>
        <v>6981148</v>
      </c>
      <c r="D14">
        <f>1495440*4</f>
        <v>5981760</v>
      </c>
      <c r="G14">
        <f>1911068*4</f>
        <v>7644272</v>
      </c>
      <c r="H14">
        <f>1551803*4</f>
        <v>6207212</v>
      </c>
      <c r="I14">
        <f>1175634*4</f>
        <v>4702536</v>
      </c>
      <c r="L14">
        <f>1532909*4</f>
        <v>6131636</v>
      </c>
      <c r="M14">
        <f>1169306*4</f>
        <v>4677224</v>
      </c>
      <c r="N14">
        <f>1053537*4</f>
        <v>4214148</v>
      </c>
      <c r="Q14">
        <f>1333087*4</f>
        <v>5332348</v>
      </c>
      <c r="R14">
        <f>963391*4</f>
        <v>3853564</v>
      </c>
      <c r="S14">
        <f>996323*4</f>
        <v>3985292</v>
      </c>
      <c r="V14">
        <f>982912*4</f>
        <v>3931648</v>
      </c>
      <c r="W14">
        <f>715438*4</f>
        <v>2861752</v>
      </c>
      <c r="X14">
        <f>728640*4</f>
        <v>2914560</v>
      </c>
      <c r="AA14">
        <f>980209*4</f>
        <v>3920836</v>
      </c>
      <c r="AB14">
        <f>646308*4</f>
        <v>2585232</v>
      </c>
      <c r="AC14">
        <f>701560*4</f>
        <v>2806240</v>
      </c>
    </row>
    <row r="15" spans="1:31" x14ac:dyDescent="0.25">
      <c r="A15" t="s">
        <v>2</v>
      </c>
      <c r="B15">
        <f>2809085*2</f>
        <v>5618170</v>
      </c>
      <c r="C15">
        <f>1158553*4</f>
        <v>4634212</v>
      </c>
      <c r="D15">
        <f>1188074*4</f>
        <v>4752296</v>
      </c>
      <c r="G15">
        <f>1307145*4</f>
        <v>5228580</v>
      </c>
      <c r="H15">
        <f>1087653*4</f>
        <v>4350612</v>
      </c>
      <c r="I15">
        <f>1082944*4</f>
        <v>4331776</v>
      </c>
      <c r="L15">
        <f>1168356*4</f>
        <v>4673424</v>
      </c>
      <c r="M15">
        <f>858347*4</f>
        <v>3433388</v>
      </c>
      <c r="N15">
        <f>906509*4</f>
        <v>3626036</v>
      </c>
      <c r="Q15">
        <f>1014468*4</f>
        <v>4057872</v>
      </c>
      <c r="R15">
        <f>728617*4</f>
        <v>2914468</v>
      </c>
      <c r="S15">
        <f>781781*4</f>
        <v>3127124</v>
      </c>
      <c r="V15">
        <f>813481*4</f>
        <v>3253924</v>
      </c>
      <c r="W15">
        <f>515767*4</f>
        <v>2063068</v>
      </c>
      <c r="X15">
        <f>620051*4</f>
        <v>2480204</v>
      </c>
      <c r="AA15">
        <f>793089*4</f>
        <v>3172356</v>
      </c>
      <c r="AB15">
        <f>540669*4</f>
        <v>2162676</v>
      </c>
      <c r="AC15">
        <f>606552*4</f>
        <v>2426208</v>
      </c>
    </row>
    <row r="16" spans="1:31" x14ac:dyDescent="0.25">
      <c r="A16" t="s">
        <v>3</v>
      </c>
      <c r="B16">
        <f>1958120*2</f>
        <v>3916240</v>
      </c>
      <c r="C16">
        <f>771787*4</f>
        <v>3087148</v>
      </c>
      <c r="D16">
        <f>695954*4</f>
        <v>2783816</v>
      </c>
      <c r="G16">
        <f>936669*4</f>
        <v>3746676</v>
      </c>
      <c r="H16">
        <f>672577*4</f>
        <v>2690308</v>
      </c>
      <c r="I16">
        <f>679494*4</f>
        <v>2717976</v>
      </c>
      <c r="L16">
        <f>753162*4</f>
        <v>3012648</v>
      </c>
      <c r="M16">
        <f>516096*4</f>
        <v>2064384</v>
      </c>
      <c r="N16">
        <f>544314*4</f>
        <v>2177256</v>
      </c>
      <c r="Q16">
        <f>674275*4</f>
        <v>2697100</v>
      </c>
      <c r="R16">
        <f>429375*4</f>
        <v>1717500</v>
      </c>
      <c r="S16">
        <f>467932*4</f>
        <v>1871728</v>
      </c>
      <c r="V16">
        <f>568434*4</f>
        <v>2273736</v>
      </c>
      <c r="W16">
        <f>312187*4</f>
        <v>1248748</v>
      </c>
      <c r="X16">
        <f>371086*4</f>
        <v>1484344</v>
      </c>
      <c r="AA16">
        <f>538276*4</f>
        <v>2153104</v>
      </c>
      <c r="AB16">
        <f>321045*4</f>
        <v>1284180</v>
      </c>
      <c r="AC16">
        <f>371086*4</f>
        <v>1484344</v>
      </c>
    </row>
    <row r="17" spans="1:31" x14ac:dyDescent="0.25">
      <c r="A17" t="s">
        <v>4</v>
      </c>
      <c r="B17">
        <f>1025196*2</f>
        <v>2050392</v>
      </c>
      <c r="C17">
        <f>363362*4</f>
        <v>1453448</v>
      </c>
      <c r="D17">
        <f>371054*4</f>
        <v>1484216</v>
      </c>
      <c r="G17">
        <f>484673*4</f>
        <v>1938692</v>
      </c>
      <c r="H17">
        <f>309522*4</f>
        <v>1238088</v>
      </c>
      <c r="I17">
        <f>295651*4</f>
        <v>1182604</v>
      </c>
      <c r="L17">
        <f>406267*4</f>
        <v>1625068</v>
      </c>
      <c r="M17">
        <f>198894*4</f>
        <v>795576</v>
      </c>
      <c r="N17">
        <f>183651*4</f>
        <v>734604</v>
      </c>
      <c r="Q17">
        <f>362245*4</f>
        <v>1448980</v>
      </c>
      <c r="R17">
        <f>161035*4</f>
        <v>644140</v>
      </c>
      <c r="S17">
        <f>134981*4</f>
        <v>539924</v>
      </c>
      <c r="V17">
        <f>270313*4</f>
        <v>1081252</v>
      </c>
      <c r="W17">
        <f>103489*4</f>
        <v>413956</v>
      </c>
      <c r="X17">
        <f>84959*4</f>
        <v>339836</v>
      </c>
      <c r="AA17">
        <f>266151*4</f>
        <v>1064604</v>
      </c>
      <c r="AB17">
        <f>96034*4</f>
        <v>384136</v>
      </c>
      <c r="AC17">
        <f>74517*4</f>
        <v>298068</v>
      </c>
    </row>
    <row r="18" spans="1:31" x14ac:dyDescent="0.25">
      <c r="A18" t="s">
        <v>5</v>
      </c>
      <c r="B18">
        <f>320309*2</f>
        <v>640618</v>
      </c>
      <c r="C18">
        <f>14674*4</f>
        <v>58696</v>
      </c>
      <c r="D18">
        <f>12846*4</f>
        <v>51384</v>
      </c>
      <c r="G18">
        <f>131736*4</f>
        <v>526944</v>
      </c>
      <c r="H18">
        <f>11326*4</f>
        <v>45304</v>
      </c>
      <c r="I18">
        <f>10039*4</f>
        <v>40156</v>
      </c>
      <c r="L18">
        <f>67203*4</f>
        <v>268812</v>
      </c>
      <c r="M18">
        <f>9417*4</f>
        <v>37668</v>
      </c>
      <c r="N18">
        <f>9590*4</f>
        <v>38360</v>
      </c>
      <c r="Q18">
        <f>49990*4</f>
        <v>199960</v>
      </c>
      <c r="R18">
        <f>11233*4</f>
        <v>44932</v>
      </c>
      <c r="S18">
        <f>8830*4</f>
        <v>35320</v>
      </c>
      <c r="V18">
        <f>25020*4</f>
        <v>100080</v>
      </c>
      <c r="W18">
        <f>11143*4</f>
        <v>44572</v>
      </c>
      <c r="X18">
        <f>10139*4</f>
        <v>40556</v>
      </c>
      <c r="AA18">
        <f>20775*4</f>
        <v>83100</v>
      </c>
      <c r="AB18">
        <f>5031*4</f>
        <v>20124</v>
      </c>
      <c r="AC18">
        <f>7786*4</f>
        <v>31144</v>
      </c>
    </row>
    <row r="21" spans="1:31" x14ac:dyDescent="0.25">
      <c r="A21" s="1" t="s">
        <v>18</v>
      </c>
    </row>
    <row r="22" spans="1:31" x14ac:dyDescent="0.25">
      <c r="B22" s="8" t="s">
        <v>11</v>
      </c>
      <c r="C22" s="8"/>
      <c r="D22" s="8"/>
      <c r="E22" s="8"/>
      <c r="F22" s="8"/>
      <c r="G22" s="8" t="s">
        <v>12</v>
      </c>
      <c r="H22" s="8"/>
      <c r="I22" s="8"/>
      <c r="J22" s="8"/>
      <c r="K22" s="8"/>
      <c r="L22" s="8" t="s">
        <v>13</v>
      </c>
      <c r="M22" s="8"/>
      <c r="N22" s="8"/>
      <c r="O22" s="8"/>
      <c r="P22" s="8"/>
      <c r="Q22" s="8" t="s">
        <v>14</v>
      </c>
      <c r="R22" s="8"/>
      <c r="S22" s="8"/>
      <c r="T22" s="8"/>
      <c r="U22" s="8"/>
      <c r="V22" s="8" t="s">
        <v>15</v>
      </c>
      <c r="W22" s="8"/>
      <c r="X22" s="8"/>
      <c r="Y22" s="8"/>
      <c r="Z22" s="8"/>
      <c r="AA22" s="8" t="s">
        <v>16</v>
      </c>
      <c r="AB22" s="8"/>
      <c r="AC22" s="8"/>
      <c r="AD22" s="8"/>
      <c r="AE22" s="8"/>
    </row>
    <row r="23" spans="1:31" x14ac:dyDescent="0.25">
      <c r="A23" t="s">
        <v>0</v>
      </c>
      <c r="B23" t="s">
        <v>6</v>
      </c>
      <c r="C23" t="s">
        <v>7</v>
      </c>
      <c r="D23" t="s">
        <v>8</v>
      </c>
      <c r="E23" t="s">
        <v>9</v>
      </c>
      <c r="F23" t="s">
        <v>10</v>
      </c>
      <c r="G23" t="s">
        <v>6</v>
      </c>
      <c r="H23" t="s">
        <v>7</v>
      </c>
      <c r="I23" t="s">
        <v>8</v>
      </c>
      <c r="J23" t="s">
        <v>9</v>
      </c>
      <c r="K23" t="s">
        <v>10</v>
      </c>
      <c r="L23" t="s">
        <v>6</v>
      </c>
      <c r="M23" t="s">
        <v>7</v>
      </c>
      <c r="N23" t="s">
        <v>8</v>
      </c>
      <c r="O23" t="s">
        <v>9</v>
      </c>
      <c r="P23" t="s">
        <v>10</v>
      </c>
      <c r="Q23" t="s">
        <v>6</v>
      </c>
      <c r="R23" t="s">
        <v>7</v>
      </c>
      <c r="S23" t="s">
        <v>8</v>
      </c>
      <c r="T23" t="s">
        <v>9</v>
      </c>
      <c r="U23" t="s">
        <v>10</v>
      </c>
      <c r="V23" t="s">
        <v>6</v>
      </c>
      <c r="W23" t="s">
        <v>7</v>
      </c>
      <c r="X23" t="s">
        <v>8</v>
      </c>
      <c r="Y23" t="s">
        <v>9</v>
      </c>
      <c r="Z23" t="s">
        <v>10</v>
      </c>
      <c r="AA23" t="s">
        <v>6</v>
      </c>
      <c r="AB23" t="s">
        <v>7</v>
      </c>
      <c r="AC23" t="s">
        <v>8</v>
      </c>
      <c r="AD23" t="s">
        <v>9</v>
      </c>
      <c r="AE23" t="s">
        <v>10</v>
      </c>
    </row>
    <row r="24" spans="1:31" x14ac:dyDescent="0.25">
      <c r="A24" t="s">
        <v>1</v>
      </c>
      <c r="B24">
        <f>52729*2</f>
        <v>105458</v>
      </c>
      <c r="C24">
        <v>0</v>
      </c>
      <c r="D24">
        <f>4657*4</f>
        <v>18628</v>
      </c>
      <c r="G24">
        <v>0</v>
      </c>
      <c r="H24">
        <f>28289*4</f>
        <v>113156</v>
      </c>
      <c r="I24">
        <f>34891*4</f>
        <v>139564</v>
      </c>
      <c r="L24">
        <f>2279*4</f>
        <v>9116</v>
      </c>
      <c r="M24">
        <f>1566*4</f>
        <v>6264</v>
      </c>
      <c r="N24">
        <f>12975*4</f>
        <v>51900</v>
      </c>
      <c r="Q24">
        <f>4038*4</f>
        <v>16152</v>
      </c>
      <c r="R24">
        <f>7956*4</f>
        <v>31824</v>
      </c>
      <c r="S24">
        <f>15546*4</f>
        <v>62184</v>
      </c>
      <c r="V24">
        <f>15956*4</f>
        <v>63824</v>
      </c>
      <c r="W24">
        <f>3472*2</f>
        <v>6944</v>
      </c>
      <c r="X24">
        <f>10089*4</f>
        <v>40356</v>
      </c>
      <c r="AA24">
        <f>4719*4</f>
        <v>18876</v>
      </c>
      <c r="AB24">
        <f>14861*4</f>
        <v>59444</v>
      </c>
      <c r="AC24">
        <f>21984*4</f>
        <v>87936</v>
      </c>
    </row>
    <row r="25" spans="1:31" x14ac:dyDescent="0.25">
      <c r="A25" t="s">
        <v>2</v>
      </c>
      <c r="B25">
        <f>666872*2</f>
        <v>1333744</v>
      </c>
      <c r="C25">
        <f>371662*4</f>
        <v>1486648</v>
      </c>
      <c r="D25">
        <f>378683*4</f>
        <v>1514732</v>
      </c>
      <c r="G25">
        <f>316242*4</f>
        <v>1264968</v>
      </c>
      <c r="H25">
        <f>370866*4</f>
        <v>1483464</v>
      </c>
      <c r="I25">
        <f>357292*4</f>
        <v>1429168</v>
      </c>
      <c r="L25">
        <f>301867*4</f>
        <v>1207468</v>
      </c>
      <c r="M25">
        <f>316973*4</f>
        <v>1267892</v>
      </c>
      <c r="N25">
        <f>315776*4</f>
        <v>1263104</v>
      </c>
      <c r="Q25">
        <f>300130*4</f>
        <v>1200520</v>
      </c>
      <c r="R25">
        <f>263691*4</f>
        <v>1054764</v>
      </c>
      <c r="S25">
        <f>271170*4</f>
        <v>1084680</v>
      </c>
      <c r="V25">
        <f>195907*4</f>
        <v>783628</v>
      </c>
      <c r="W25">
        <f>171658*4</f>
        <v>686632</v>
      </c>
      <c r="X25">
        <f>192315*4</f>
        <v>769260</v>
      </c>
      <c r="AA25">
        <f>187283*4</f>
        <v>749132</v>
      </c>
      <c r="AB25">
        <f>174576*4</f>
        <v>698304</v>
      </c>
      <c r="AC25">
        <f>186551*4</f>
        <v>746204</v>
      </c>
    </row>
    <row r="26" spans="1:31" x14ac:dyDescent="0.25">
      <c r="A26" t="s">
        <v>3</v>
      </c>
      <c r="B26">
        <f>1450170*2</f>
        <v>2900340</v>
      </c>
      <c r="C26">
        <f>819336*4</f>
        <v>3277344</v>
      </c>
      <c r="D26">
        <f>730124*4</f>
        <v>2920496</v>
      </c>
      <c r="G26">
        <f>730540*4</f>
        <v>2922160</v>
      </c>
      <c r="H26">
        <f>802476*4</f>
        <v>3209904</v>
      </c>
      <c r="I26">
        <f>775867*4</f>
        <v>3103468</v>
      </c>
      <c r="L26">
        <f>659564*4</f>
        <v>2638256</v>
      </c>
      <c r="M26">
        <f>705036*4</f>
        <v>2820144</v>
      </c>
      <c r="N26">
        <f>711285*4</f>
        <v>2845140</v>
      </c>
      <c r="Q26">
        <f>617476*4</f>
        <v>2469904</v>
      </c>
      <c r="R26">
        <f>621205*4</f>
        <v>2484820</v>
      </c>
      <c r="S26">
        <f>637843*4</f>
        <v>2551372</v>
      </c>
      <c r="V26">
        <f>499846*4</f>
        <v>1999384</v>
      </c>
      <c r="W26">
        <f>455161*4</f>
        <v>1820644</v>
      </c>
      <c r="X26">
        <f>501073*4</f>
        <v>2004292</v>
      </c>
      <c r="AA26">
        <f>482785*4</f>
        <v>1931140</v>
      </c>
      <c r="AB26">
        <f>468424*4</f>
        <v>1873696</v>
      </c>
      <c r="AC26">
        <f>501073*4</f>
        <v>2004292</v>
      </c>
    </row>
    <row r="27" spans="1:31" x14ac:dyDescent="0.25">
      <c r="A27" t="s">
        <v>4</v>
      </c>
      <c r="B27">
        <f>2094933*2</f>
        <v>4189866</v>
      </c>
      <c r="C27">
        <f>1212251*4</f>
        <v>4849004</v>
      </c>
      <c r="D27">
        <f>1218752*4</f>
        <v>4875008</v>
      </c>
      <c r="G27">
        <f>1053086*4</f>
        <v>4212344</v>
      </c>
      <c r="H27">
        <f>1236003*4</f>
        <v>4944012</v>
      </c>
      <c r="I27">
        <f>1191432*4</f>
        <v>4765728</v>
      </c>
      <c r="L27">
        <f>1123352*4</f>
        <v>4493408</v>
      </c>
      <c r="M27">
        <f>1116971*4</f>
        <v>4467884</v>
      </c>
      <c r="N27">
        <f>1080955*4</f>
        <v>4323820</v>
      </c>
      <c r="Q27">
        <f>1075633*4</f>
        <v>4302532</v>
      </c>
      <c r="R27">
        <f>1028932*4</f>
        <v>4115728</v>
      </c>
      <c r="S27">
        <f>963119*4</f>
        <v>3852476</v>
      </c>
      <c r="V27">
        <f>847369*4</f>
        <v>3389476</v>
      </c>
      <c r="W27">
        <f>820606*4</f>
        <v>3282424</v>
      </c>
      <c r="X27">
        <f>797627*4</f>
        <v>3190508</v>
      </c>
      <c r="AA27">
        <f>874960*4</f>
        <v>3499840</v>
      </c>
      <c r="AB27">
        <f>822514*4</f>
        <v>3290056</v>
      </c>
      <c r="AC27">
        <f>750083*4</f>
        <v>3000332</v>
      </c>
    </row>
    <row r="28" spans="1:31" x14ac:dyDescent="0.25">
      <c r="A28" t="s">
        <v>5</v>
      </c>
      <c r="B28">
        <f>2945388*2</f>
        <v>5890776</v>
      </c>
      <c r="C28">
        <f>1696721*4</f>
        <v>6786884</v>
      </c>
      <c r="D28">
        <f>1642413*4</f>
        <v>6569652</v>
      </c>
      <c r="G28">
        <f>1448642*4</f>
        <v>5794568</v>
      </c>
      <c r="H28">
        <f>1667476*4</f>
        <v>6669904</v>
      </c>
      <c r="I28">
        <f>1718460*4</f>
        <v>6873840</v>
      </c>
      <c r="L28">
        <f>1465787*4</f>
        <v>5863148</v>
      </c>
      <c r="M28">
        <f>1371659*4</f>
        <v>5486636</v>
      </c>
      <c r="N28">
        <f>1473051*4</f>
        <v>5892204</v>
      </c>
      <c r="Q28">
        <f>1373272*4</f>
        <v>5493088</v>
      </c>
      <c r="R28">
        <f>1266596*4</f>
        <v>5066384</v>
      </c>
      <c r="S28">
        <f>1311054*4</f>
        <v>5244216</v>
      </c>
      <c r="V28">
        <f>1086184*4</f>
        <v>4344736</v>
      </c>
      <c r="W28">
        <f>1005510*4</f>
        <v>4022040</v>
      </c>
      <c r="X28">
        <f>1078645*4</f>
        <v>4314580</v>
      </c>
      <c r="AA28">
        <f>1151243*4</f>
        <v>4604972</v>
      </c>
      <c r="AB28">
        <f>1189223*4</f>
        <v>4756892</v>
      </c>
      <c r="AC28">
        <f>1029166*4</f>
        <v>4116664</v>
      </c>
    </row>
    <row r="30" spans="1:31" x14ac:dyDescent="0.25">
      <c r="A30" t="s">
        <v>22</v>
      </c>
      <c r="E30" t="s">
        <v>23</v>
      </c>
    </row>
    <row r="32" spans="1:31" x14ac:dyDescent="0.25">
      <c r="A32" s="1" t="s">
        <v>19</v>
      </c>
    </row>
    <row r="33" spans="1:31" x14ac:dyDescent="0.25">
      <c r="B33" s="8" t="s">
        <v>11</v>
      </c>
      <c r="C33" s="8"/>
      <c r="D33" s="8"/>
      <c r="E33" s="8"/>
      <c r="F33" s="8"/>
      <c r="G33" s="8" t="s">
        <v>12</v>
      </c>
      <c r="H33" s="8"/>
      <c r="I33" s="8"/>
      <c r="J33" s="8"/>
      <c r="K33" s="8"/>
      <c r="L33" s="8" t="s">
        <v>13</v>
      </c>
      <c r="M33" s="8"/>
      <c r="N33" s="8"/>
      <c r="O33" s="8"/>
      <c r="P33" s="8"/>
      <c r="Q33" s="8" t="s">
        <v>14</v>
      </c>
      <c r="R33" s="8"/>
      <c r="S33" s="8"/>
      <c r="T33" s="8"/>
      <c r="U33" s="8"/>
      <c r="V33" s="8" t="s">
        <v>15</v>
      </c>
      <c r="W33" s="8"/>
      <c r="X33" s="8"/>
      <c r="Y33" s="8"/>
      <c r="Z33" s="8"/>
      <c r="AA33" s="8" t="s">
        <v>16</v>
      </c>
      <c r="AB33" s="8"/>
      <c r="AC33" s="8"/>
      <c r="AD33" s="8"/>
      <c r="AE33" s="8"/>
    </row>
    <row r="34" spans="1:31" x14ac:dyDescent="0.25">
      <c r="A34" t="s">
        <v>0</v>
      </c>
      <c r="B34" t="s">
        <v>6</v>
      </c>
      <c r="C34" t="s">
        <v>7</v>
      </c>
      <c r="D34" t="s">
        <v>8</v>
      </c>
      <c r="E34" s="1" t="s">
        <v>9</v>
      </c>
      <c r="F34" s="1" t="s">
        <v>10</v>
      </c>
      <c r="G34" t="s">
        <v>6</v>
      </c>
      <c r="H34" t="s">
        <v>7</v>
      </c>
      <c r="I34" t="s">
        <v>8</v>
      </c>
      <c r="J34" s="1" t="s">
        <v>9</v>
      </c>
      <c r="K34" s="1" t="s">
        <v>10</v>
      </c>
      <c r="L34" t="s">
        <v>6</v>
      </c>
      <c r="M34" t="s">
        <v>7</v>
      </c>
      <c r="N34" t="s">
        <v>8</v>
      </c>
      <c r="O34" s="1" t="s">
        <v>9</v>
      </c>
      <c r="P34" s="1" t="s">
        <v>10</v>
      </c>
      <c r="Q34" s="2" t="s">
        <v>6</v>
      </c>
      <c r="R34" t="s">
        <v>7</v>
      </c>
      <c r="S34" t="s">
        <v>8</v>
      </c>
      <c r="T34" s="1" t="s">
        <v>9</v>
      </c>
      <c r="U34" s="1" t="s">
        <v>10</v>
      </c>
      <c r="V34" t="s">
        <v>6</v>
      </c>
      <c r="W34" t="s">
        <v>7</v>
      </c>
      <c r="X34" t="s">
        <v>8</v>
      </c>
      <c r="Y34" s="1" t="s">
        <v>9</v>
      </c>
      <c r="Z34" s="1" t="s">
        <v>10</v>
      </c>
      <c r="AA34" t="s">
        <v>6</v>
      </c>
      <c r="AB34" t="s">
        <v>7</v>
      </c>
      <c r="AC34" t="s">
        <v>8</v>
      </c>
      <c r="AD34" s="1" t="s">
        <v>9</v>
      </c>
      <c r="AE34" s="1" t="s">
        <v>10</v>
      </c>
    </row>
    <row r="35" spans="1:31" x14ac:dyDescent="0.25">
      <c r="A35" t="s">
        <v>1</v>
      </c>
      <c r="B35">
        <f>(B14-1322.2)/230240</f>
        <v>31.754220813064627</v>
      </c>
      <c r="C35">
        <f t="shared" ref="C35:D35" si="12">(C14-1322.2)/230240</f>
        <v>30.315435198054203</v>
      </c>
      <c r="D35">
        <f t="shared" si="12"/>
        <v>25.974799339819317</v>
      </c>
      <c r="E35" s="1">
        <f>AVERAGE(B35:D35)</f>
        <v>29.348151783646049</v>
      </c>
      <c r="F35" s="1">
        <f>STDEV(B35:D35)</f>
        <v>3.008680116628232</v>
      </c>
      <c r="G35">
        <f>(G14-1322.2)/230240</f>
        <v>33.1955776580959</v>
      </c>
      <c r="H35">
        <f t="shared" ref="H35:I35" si="13">(H14-1322.2)/230240</f>
        <v>26.954003648366921</v>
      </c>
      <c r="I35">
        <f t="shared" si="13"/>
        <v>20.418753474635164</v>
      </c>
      <c r="J35" s="1">
        <f>AVERAGE(G35:I35)</f>
        <v>26.856111593699328</v>
      </c>
      <c r="K35" s="1">
        <f>STDEV(G35:I35)</f>
        <v>6.3889745808339429</v>
      </c>
      <c r="L35">
        <f>(L14-1322.2)/230240</f>
        <v>26.625754864489227</v>
      </c>
      <c r="M35">
        <f t="shared" ref="M35:N35" si="14">(M14-1322.2)/230240</f>
        <v>20.308816018068104</v>
      </c>
      <c r="N35">
        <f t="shared" si="14"/>
        <v>18.297540826963168</v>
      </c>
      <c r="O35" s="1">
        <f>AVERAGE(L35:N35)</f>
        <v>21.744037236506831</v>
      </c>
      <c r="P35" s="1">
        <f>STDEV(L35:N35)</f>
        <v>4.3456509550473754</v>
      </c>
      <c r="Q35" s="2">
        <f>(Q14-1322.2)/230240</f>
        <v>23.154212126476718</v>
      </c>
      <c r="R35" s="2">
        <f t="shared" ref="R35" si="15">(R14-1322.2)/230240</f>
        <v>16.73141851980542</v>
      </c>
      <c r="S35" s="2">
        <f>(S14-1322.2)/230240</f>
        <v>17.303551945795689</v>
      </c>
      <c r="T35" s="1">
        <f>AVERAGE(Q35:S35)</f>
        <v>19.063060864025942</v>
      </c>
      <c r="U35" s="1">
        <f>STDEV(Q35:S35)</f>
        <v>3.5545707410984679</v>
      </c>
      <c r="V35">
        <f>(V14-1322.2)/230240</f>
        <v>17.070560284920081</v>
      </c>
      <c r="W35">
        <f t="shared" ref="W35:X35" si="16">(W14-1322.2)/230240</f>
        <v>12.423687456567059</v>
      </c>
      <c r="X35">
        <f t="shared" si="16"/>
        <v>12.653048123697012</v>
      </c>
      <c r="Y35" s="1">
        <f>AVERAGE(V35:X35)</f>
        <v>14.049098621728049</v>
      </c>
      <c r="Z35" s="1">
        <f>STDEV(V35:X35)</f>
        <v>2.6191743957802758</v>
      </c>
      <c r="AA35">
        <f>(AA14-1322.2)/230240</f>
        <v>17.023600590687977</v>
      </c>
      <c r="AB35">
        <f t="shared" ref="AB35:AC35" si="17">(AB14-1322.2)/230240</f>
        <v>11.2226798123697</v>
      </c>
      <c r="AC35">
        <f t="shared" si="17"/>
        <v>12.182582522585127</v>
      </c>
      <c r="AD35" s="1">
        <f>AVERAGE(AA35:AC35)</f>
        <v>13.476287641880935</v>
      </c>
      <c r="AE35" s="1">
        <f>STDEV(AA35:AC35)</f>
        <v>3.1093287331593471</v>
      </c>
    </row>
    <row r="36" spans="1:31" x14ac:dyDescent="0.25">
      <c r="A36" t="s">
        <v>2</v>
      </c>
      <c r="B36">
        <f t="shared" ref="B36:D39" si="18">(B15-1322.2)/230240</f>
        <v>24.395621091035441</v>
      </c>
      <c r="C36">
        <f t="shared" si="18"/>
        <v>20.122002258512854</v>
      </c>
      <c r="D36">
        <f t="shared" si="18"/>
        <v>20.63487578179291</v>
      </c>
      <c r="E36" s="1">
        <f t="shared" ref="E36:E39" si="19">AVERAGE(B36:D36)</f>
        <v>21.717499710447068</v>
      </c>
      <c r="F36" s="1">
        <f t="shared" ref="F36:F39" si="20">STDEV(B36:D36)</f>
        <v>2.3334546084279961</v>
      </c>
      <c r="G36">
        <f t="shared" ref="G36:I39" si="21">(G15-1322.2)/230240</f>
        <v>22.703517199444057</v>
      </c>
      <c r="H36">
        <f t="shared" si="21"/>
        <v>18.89024409312022</v>
      </c>
      <c r="I36">
        <f t="shared" si="21"/>
        <v>18.808433808200139</v>
      </c>
      <c r="J36" s="1">
        <f t="shared" ref="J36:J39" si="22">AVERAGE(G36:I36)</f>
        <v>20.13406503358814</v>
      </c>
      <c r="K36" s="1">
        <f t="shared" ref="K36:K39" si="23">STDEV(G36:I36)</f>
        <v>2.2255867889493617</v>
      </c>
      <c r="L36">
        <f t="shared" ref="L36:N39" si="24">(L15-1322.2)/230240</f>
        <v>20.292311501042391</v>
      </c>
      <c r="M36">
        <f t="shared" si="24"/>
        <v>14.90647063933287</v>
      </c>
      <c r="N36">
        <f t="shared" si="24"/>
        <v>15.743197533009033</v>
      </c>
      <c r="O36" s="1">
        <f t="shared" ref="O36:O39" si="25">AVERAGE(L36:N36)</f>
        <v>16.980659891128095</v>
      </c>
      <c r="P36" s="1">
        <f t="shared" ref="P36:P39" si="26">STDEV(L36:N36)</f>
        <v>2.8983280115846539</v>
      </c>
      <c r="Q36" s="5">
        <f t="shared" ref="Q36:S39" si="27">(Q15-1322.2)/230240</f>
        <v>17.618788220986797</v>
      </c>
      <c r="R36" s="2">
        <f t="shared" si="27"/>
        <v>12.65264854065323</v>
      </c>
      <c r="S36" s="2">
        <f t="shared" si="27"/>
        <v>13.576276059763725</v>
      </c>
      <c r="T36" s="1">
        <f t="shared" ref="T36:T38" si="28">AVERAGE(Q36:S36)</f>
        <v>14.615904273801249</v>
      </c>
      <c r="U36" s="1">
        <f t="shared" ref="U36:U38" si="29">STDEV(Q36:S36)</f>
        <v>2.641260295524301</v>
      </c>
      <c r="V36">
        <f t="shared" ref="V36:X39" si="30">(V15-1322.2)/230240</f>
        <v>14.127005733148019</v>
      </c>
      <c r="W36">
        <f t="shared" si="30"/>
        <v>8.9547680681028492</v>
      </c>
      <c r="X36">
        <f t="shared" si="30"/>
        <v>10.766512334954829</v>
      </c>
      <c r="Y36" s="1">
        <f t="shared" ref="Y36:Y39" si="31">AVERAGE(V36:X36)</f>
        <v>11.282762045401901</v>
      </c>
      <c r="Z36" s="1">
        <f t="shared" ref="Z36:Z39" si="32">STDEV(V36:X36)</f>
        <v>2.6244801272976792</v>
      </c>
      <c r="AA36">
        <f t="shared" ref="AA36:AC39" si="33">(AA15-1322.2)/230240</f>
        <v>13.77273193189715</v>
      </c>
      <c r="AB36">
        <f t="shared" si="33"/>
        <v>9.3873948922863093</v>
      </c>
      <c r="AC36">
        <f t="shared" si="33"/>
        <v>10.531991834607366</v>
      </c>
      <c r="AD36" s="1">
        <f t="shared" ref="AD36:AD39" si="34">AVERAGE(AA36:AC36)</f>
        <v>11.230706219596941</v>
      </c>
      <c r="AE36" s="1">
        <f t="shared" ref="AE36:AE39" si="35">STDEV(AA36:AC36)</f>
        <v>2.2746310869213948</v>
      </c>
    </row>
    <row r="37" spans="1:31" x14ac:dyDescent="0.25">
      <c r="A37" t="s">
        <v>3</v>
      </c>
      <c r="B37">
        <f t="shared" si="18"/>
        <v>17.003638811674772</v>
      </c>
      <c r="C37">
        <f t="shared" si="18"/>
        <v>13.40264854065323</v>
      </c>
      <c r="D37">
        <f t="shared" si="18"/>
        <v>12.085188498957608</v>
      </c>
      <c r="E37" s="1">
        <f t="shared" si="19"/>
        <v>14.163825283761868</v>
      </c>
      <c r="F37" s="1">
        <f t="shared" si="20"/>
        <v>2.5460422021942399</v>
      </c>
      <c r="G37">
        <f t="shared" si="21"/>
        <v>16.267172515635856</v>
      </c>
      <c r="H37">
        <f t="shared" si="21"/>
        <v>11.67905576789437</v>
      </c>
      <c r="I37">
        <f t="shared" si="21"/>
        <v>11.799226025017372</v>
      </c>
      <c r="J37" s="1">
        <f t="shared" si="22"/>
        <v>13.248484769515864</v>
      </c>
      <c r="K37" s="1">
        <f t="shared" si="23"/>
        <v>2.6149506695357685</v>
      </c>
      <c r="L37">
        <f t="shared" si="24"/>
        <v>13.079073141070188</v>
      </c>
      <c r="M37">
        <f t="shared" si="24"/>
        <v>8.9604838429464913</v>
      </c>
      <c r="N37">
        <f t="shared" si="24"/>
        <v>9.4507201181375944</v>
      </c>
      <c r="O37" s="1">
        <f t="shared" si="25"/>
        <v>10.496759034051424</v>
      </c>
      <c r="P37" s="1">
        <f t="shared" si="26"/>
        <v>2.2497427657088727</v>
      </c>
      <c r="Q37" s="2">
        <f t="shared" si="27"/>
        <v>11.708555420430853</v>
      </c>
      <c r="R37" s="2">
        <f t="shared" si="27"/>
        <v>7.4538646629603891</v>
      </c>
      <c r="S37" s="2">
        <f t="shared" si="27"/>
        <v>8.1237222029186942</v>
      </c>
      <c r="T37" s="1">
        <f t="shared" si="28"/>
        <v>9.0953807621033125</v>
      </c>
      <c r="U37" s="1">
        <f t="shared" si="29"/>
        <v>2.2877256450793402</v>
      </c>
      <c r="V37">
        <f t="shared" si="30"/>
        <v>9.8697611188325212</v>
      </c>
      <c r="W37">
        <f t="shared" si="30"/>
        <v>5.4179369353717863</v>
      </c>
      <c r="X37">
        <f t="shared" si="30"/>
        <v>6.4411996177901321</v>
      </c>
      <c r="Y37" s="1">
        <f t="shared" si="31"/>
        <v>7.2429658906648129</v>
      </c>
      <c r="Z37" s="1">
        <f t="shared" si="32"/>
        <v>2.3316960580982662</v>
      </c>
      <c r="AA37">
        <f t="shared" si="33"/>
        <v>9.3458208825573301</v>
      </c>
      <c r="AB37">
        <f t="shared" si="33"/>
        <v>5.5718285267546905</v>
      </c>
      <c r="AC37">
        <f t="shared" si="33"/>
        <v>6.4411996177901321</v>
      </c>
      <c r="AD37" s="1">
        <f t="shared" si="34"/>
        <v>7.1196163423673839</v>
      </c>
      <c r="AE37" s="1">
        <f t="shared" si="35"/>
        <v>1.9763454947335974</v>
      </c>
    </row>
    <row r="38" spans="1:31" x14ac:dyDescent="0.25">
      <c r="A38" t="s">
        <v>4</v>
      </c>
      <c r="B38">
        <f t="shared" si="18"/>
        <v>8.8997124739402373</v>
      </c>
      <c r="C38">
        <f t="shared" si="18"/>
        <v>6.3070092077831825</v>
      </c>
      <c r="D38">
        <f t="shared" si="18"/>
        <v>6.4406436761640027</v>
      </c>
      <c r="E38" s="1">
        <f t="shared" si="19"/>
        <v>7.2157884526291411</v>
      </c>
      <c r="F38" s="1">
        <f t="shared" si="20"/>
        <v>1.4598508913400201</v>
      </c>
      <c r="G38">
        <f t="shared" si="21"/>
        <v>8.4145665392633777</v>
      </c>
      <c r="H38">
        <f t="shared" si="21"/>
        <v>5.3716374218207088</v>
      </c>
      <c r="I38">
        <f t="shared" si="21"/>
        <v>5.130654100069493</v>
      </c>
      <c r="J38" s="1">
        <f t="shared" si="22"/>
        <v>6.3056193537178595</v>
      </c>
      <c r="K38" s="1">
        <f t="shared" si="23"/>
        <v>1.8303720698005181</v>
      </c>
      <c r="L38">
        <f t="shared" si="24"/>
        <v>7.0524053161918001</v>
      </c>
      <c r="M38">
        <f t="shared" si="24"/>
        <v>3.4496777275886035</v>
      </c>
      <c r="N38">
        <f t="shared" si="24"/>
        <v>3.1848584086170955</v>
      </c>
      <c r="O38" s="1">
        <f t="shared" si="25"/>
        <v>4.5623138174658333</v>
      </c>
      <c r="P38" s="1">
        <f t="shared" si="26"/>
        <v>2.1605436982263591</v>
      </c>
      <c r="Q38" s="2">
        <f t="shared" si="27"/>
        <v>6.2876033703961083</v>
      </c>
      <c r="R38" s="2">
        <f t="shared" si="27"/>
        <v>2.7919466643502435</v>
      </c>
      <c r="S38" s="2">
        <f t="shared" si="27"/>
        <v>2.3393059416261295</v>
      </c>
      <c r="T38" s="1">
        <f t="shared" si="28"/>
        <v>3.8062853254574933</v>
      </c>
      <c r="U38" s="1">
        <f t="shared" si="29"/>
        <v>2.1607696166113008</v>
      </c>
      <c r="V38">
        <f t="shared" si="30"/>
        <v>4.6904525712300211</v>
      </c>
      <c r="W38">
        <f t="shared" si="30"/>
        <v>1.7921898888116747</v>
      </c>
      <c r="X38">
        <f t="shared" si="30"/>
        <v>1.4702649409312021</v>
      </c>
      <c r="Y38" s="1">
        <f t="shared" si="31"/>
        <v>2.6509691336576324</v>
      </c>
      <c r="Z38" s="1">
        <f t="shared" si="32"/>
        <v>1.7735637674231026</v>
      </c>
      <c r="AA38">
        <f t="shared" si="33"/>
        <v>4.6181454134815842</v>
      </c>
      <c r="AB38">
        <f t="shared" si="33"/>
        <v>1.6626728630993746</v>
      </c>
      <c r="AC38">
        <f t="shared" si="33"/>
        <v>1.2888542390548992</v>
      </c>
      <c r="AD38" s="1">
        <f t="shared" si="34"/>
        <v>2.5232241718786192</v>
      </c>
      <c r="AE38" s="1">
        <f t="shared" si="35"/>
        <v>1.8238575457831425</v>
      </c>
    </row>
    <row r="39" spans="1:31" x14ac:dyDescent="0.25">
      <c r="A39" t="s">
        <v>5</v>
      </c>
      <c r="B39">
        <f t="shared" si="18"/>
        <v>2.7766495830437807</v>
      </c>
      <c r="C39">
        <f t="shared" si="18"/>
        <v>0.24919127866574012</v>
      </c>
      <c r="D39">
        <f t="shared" si="18"/>
        <v>0.21743311327310633</v>
      </c>
      <c r="E39" s="1">
        <f t="shared" si="19"/>
        <v>1.0810913249942089</v>
      </c>
      <c r="F39" s="1">
        <f t="shared" si="20"/>
        <v>1.4684823799070079</v>
      </c>
      <c r="G39">
        <f t="shared" si="21"/>
        <v>2.2829299861014594</v>
      </c>
      <c r="H39">
        <f t="shared" si="21"/>
        <v>0.19102588603196666</v>
      </c>
      <c r="I39">
        <f t="shared" si="21"/>
        <v>0.16866660875608061</v>
      </c>
      <c r="J39" s="1">
        <f t="shared" si="22"/>
        <v>0.88087416029650223</v>
      </c>
      <c r="K39" s="1">
        <f t="shared" si="23"/>
        <v>1.2142674286685327</v>
      </c>
      <c r="L39">
        <f t="shared" si="24"/>
        <v>1.1617868311327311</v>
      </c>
      <c r="M39">
        <f t="shared" si="24"/>
        <v>0.15786049339819319</v>
      </c>
      <c r="N39">
        <f t="shared" si="24"/>
        <v>0.16086605281445449</v>
      </c>
      <c r="O39" s="1">
        <f t="shared" si="25"/>
        <v>0.49350445911512625</v>
      </c>
      <c r="P39" s="1">
        <f t="shared" si="26"/>
        <v>0.57875146212252326</v>
      </c>
      <c r="Q39" s="2">
        <f t="shared" si="27"/>
        <v>0.86274235580264069</v>
      </c>
      <c r="R39" s="2">
        <f t="shared" si="27"/>
        <v>0.18941018068102849</v>
      </c>
      <c r="S39" s="2">
        <f t="shared" si="27"/>
        <v>0.14766243919388466</v>
      </c>
      <c r="T39" s="1">
        <f>AVERAGE(Q39:S39)</f>
        <v>0.39993832522585127</v>
      </c>
      <c r="U39" s="1">
        <f>STDEV(Q39:S39)</f>
        <v>0.40134324027995127</v>
      </c>
      <c r="V39">
        <f t="shared" si="30"/>
        <v>0.42893415566365534</v>
      </c>
      <c r="W39">
        <f t="shared" si="30"/>
        <v>0.18784659485753996</v>
      </c>
      <c r="X39">
        <f t="shared" si="30"/>
        <v>0.17040392633773455</v>
      </c>
      <c r="Y39" s="1">
        <f t="shared" si="31"/>
        <v>0.26239489228630997</v>
      </c>
      <c r="Z39" s="1">
        <f t="shared" si="32"/>
        <v>0.1444906791318199</v>
      </c>
      <c r="AA39">
        <f t="shared" si="33"/>
        <v>0.35518502432244614</v>
      </c>
      <c r="AB39">
        <f t="shared" si="33"/>
        <v>8.1661744266851979E-2</v>
      </c>
      <c r="AC39">
        <f t="shared" si="33"/>
        <v>0.12952484364141764</v>
      </c>
      <c r="AD39" s="1">
        <f t="shared" si="34"/>
        <v>0.18879053741023857</v>
      </c>
      <c r="AE39" s="1">
        <f t="shared" si="35"/>
        <v>0.1460755387685341</v>
      </c>
    </row>
    <row r="42" spans="1:31" x14ac:dyDescent="0.25">
      <c r="A42" s="1" t="s">
        <v>21</v>
      </c>
    </row>
    <row r="43" spans="1:31" x14ac:dyDescent="0.25">
      <c r="B43" s="8" t="s">
        <v>11</v>
      </c>
      <c r="C43" s="8"/>
      <c r="D43" s="8"/>
      <c r="E43" s="8"/>
      <c r="F43" s="8"/>
      <c r="G43" s="8" t="s">
        <v>12</v>
      </c>
      <c r="H43" s="8"/>
      <c r="I43" s="8"/>
      <c r="J43" s="8"/>
      <c r="K43" s="8"/>
      <c r="L43" s="8" t="s">
        <v>13</v>
      </c>
      <c r="M43" s="8"/>
      <c r="N43" s="8"/>
      <c r="O43" s="8"/>
      <c r="P43" s="8"/>
      <c r="Q43" s="8" t="s">
        <v>14</v>
      </c>
      <c r="R43" s="8"/>
      <c r="S43" s="8"/>
      <c r="T43" s="8"/>
      <c r="U43" s="8"/>
      <c r="V43" s="8" t="s">
        <v>15</v>
      </c>
      <c r="W43" s="8"/>
      <c r="X43" s="8"/>
      <c r="Y43" s="8"/>
      <c r="Z43" s="8"/>
      <c r="AA43" s="8" t="s">
        <v>16</v>
      </c>
      <c r="AB43" s="8"/>
      <c r="AC43" s="8"/>
      <c r="AD43" s="8"/>
      <c r="AE43" s="8"/>
    </row>
    <row r="44" spans="1:31" x14ac:dyDescent="0.25">
      <c r="A44" t="s">
        <v>0</v>
      </c>
      <c r="B44" t="s">
        <v>6</v>
      </c>
      <c r="C44" t="s">
        <v>7</v>
      </c>
      <c r="D44" t="s">
        <v>8</v>
      </c>
      <c r="E44" s="1" t="s">
        <v>9</v>
      </c>
      <c r="F44" s="1" t="s">
        <v>10</v>
      </c>
      <c r="G44" t="s">
        <v>6</v>
      </c>
      <c r="H44" t="s">
        <v>7</v>
      </c>
      <c r="I44" t="s">
        <v>8</v>
      </c>
      <c r="J44" s="1" t="s">
        <v>9</v>
      </c>
      <c r="K44" s="1" t="s">
        <v>10</v>
      </c>
      <c r="L44" t="s">
        <v>6</v>
      </c>
      <c r="M44" t="s">
        <v>7</v>
      </c>
      <c r="N44" t="s">
        <v>8</v>
      </c>
      <c r="O44" s="1" t="s">
        <v>9</v>
      </c>
      <c r="P44" s="1" t="s">
        <v>10</v>
      </c>
      <c r="Q44" s="2" t="s">
        <v>6</v>
      </c>
      <c r="R44" t="s">
        <v>7</v>
      </c>
      <c r="S44" t="s">
        <v>8</v>
      </c>
      <c r="T44" s="1" t="s">
        <v>9</v>
      </c>
      <c r="U44" s="1" t="s">
        <v>10</v>
      </c>
      <c r="V44" t="s">
        <v>6</v>
      </c>
      <c r="W44" t="s">
        <v>7</v>
      </c>
      <c r="X44" t="s">
        <v>8</v>
      </c>
      <c r="Y44" s="1" t="s">
        <v>9</v>
      </c>
      <c r="Z44" s="1" t="s">
        <v>10</v>
      </c>
      <c r="AA44" t="s">
        <v>6</v>
      </c>
      <c r="AB44" t="s">
        <v>7</v>
      </c>
      <c r="AC44" t="s">
        <v>8</v>
      </c>
      <c r="AD44" s="1" t="s">
        <v>9</v>
      </c>
      <c r="AE44" s="1" t="s">
        <v>10</v>
      </c>
    </row>
    <row r="45" spans="1:31" x14ac:dyDescent="0.25">
      <c r="A45" t="s">
        <v>1</v>
      </c>
      <c r="B45">
        <f>B24/225184</f>
        <v>0.46831924115390083</v>
      </c>
      <c r="C45">
        <f t="shared" ref="C45:D45" si="36">C24/225184</f>
        <v>0</v>
      </c>
      <c r="D45">
        <f t="shared" si="36"/>
        <v>8.2723461702430015E-2</v>
      </c>
      <c r="E45" s="1">
        <f>AVERAGE(B45:D45)</f>
        <v>0.18368090095211029</v>
      </c>
      <c r="F45" s="1">
        <f>STDEV(B45:D45)</f>
        <v>0.24995005763878322</v>
      </c>
      <c r="G45">
        <f>G24/225184</f>
        <v>0</v>
      </c>
      <c r="H45">
        <f t="shared" ref="H45:I45" si="37">H24/225184</f>
        <v>0.50250461844536021</v>
      </c>
      <c r="I45">
        <f t="shared" si="37"/>
        <v>0.61977760409265314</v>
      </c>
      <c r="J45" s="1">
        <f>AVERAGE(G45:I45)</f>
        <v>0.37409407417933777</v>
      </c>
      <c r="K45" s="1">
        <f>STDEV(G45:I45)</f>
        <v>0.32923854656271556</v>
      </c>
      <c r="L45">
        <f>L24/225184</f>
        <v>4.0482449907631092E-2</v>
      </c>
      <c r="M45">
        <f t="shared" ref="M45:N45" si="38">M24/225184</f>
        <v>2.7817251669745632E-2</v>
      </c>
      <c r="N45">
        <f t="shared" si="38"/>
        <v>0.23047818672729856</v>
      </c>
      <c r="O45" s="1">
        <f>AVERAGE(L45:N45)</f>
        <v>9.9592629434891763E-2</v>
      </c>
      <c r="P45" s="1">
        <f>STDEV(L45:N45)</f>
        <v>0.11352697319319827</v>
      </c>
      <c r="Q45" s="2">
        <f>Q24/225184</f>
        <v>7.1728009094784703E-2</v>
      </c>
      <c r="R45" s="2">
        <f t="shared" ref="R45:S45" si="39">R24/225184</f>
        <v>0.14132442802330539</v>
      </c>
      <c r="S45" s="2">
        <f t="shared" si="39"/>
        <v>0.2761475060395055</v>
      </c>
      <c r="T45" s="1">
        <f>AVERAGE(Q45:S45)</f>
        <v>0.16306664771919852</v>
      </c>
      <c r="U45" s="1">
        <f>STDEV(Q45:S45)</f>
        <v>0.10392966742351073</v>
      </c>
      <c r="V45">
        <f>V24/225184</f>
        <v>0.28343043910757426</v>
      </c>
      <c r="W45">
        <f t="shared" ref="W45:X45" si="40">W24/225184</f>
        <v>3.0837004405286344E-2</v>
      </c>
      <c r="X45">
        <f t="shared" si="40"/>
        <v>0.17921344322864857</v>
      </c>
      <c r="Y45" s="1">
        <f>AVERAGE(V45:X45)</f>
        <v>0.1644936289138364</v>
      </c>
      <c r="Z45" s="1">
        <f>STDEV(V45:X45)</f>
        <v>0.12693843198090815</v>
      </c>
      <c r="AA45">
        <f>AA24/225184</f>
        <v>8.3824783288333093E-2</v>
      </c>
      <c r="AB45">
        <f t="shared" ref="AB45:AC45" si="41">AB24/225184</f>
        <v>0.26397967884041496</v>
      </c>
      <c r="AC45">
        <f t="shared" si="41"/>
        <v>0.39050731845957082</v>
      </c>
      <c r="AD45" s="1">
        <f>AVERAGE(AA45:AC45)</f>
        <v>0.24610392686277294</v>
      </c>
      <c r="AE45" s="1">
        <f>STDEV(AA45:AC45)</f>
        <v>0.1541207358739862</v>
      </c>
    </row>
    <row r="46" spans="1:31" x14ac:dyDescent="0.25">
      <c r="A46" t="s">
        <v>2</v>
      </c>
      <c r="B46">
        <f t="shared" ref="B46:D49" si="42">B25/225184</f>
        <v>5.9229074889867839</v>
      </c>
      <c r="C46">
        <f t="shared" si="42"/>
        <v>6.6019255364501914</v>
      </c>
      <c r="D46">
        <f t="shared" si="42"/>
        <v>6.726641324428023</v>
      </c>
      <c r="E46" s="1">
        <f t="shared" ref="E46:E49" si="43">AVERAGE(B46:D46)</f>
        <v>6.4171581166216667</v>
      </c>
      <c r="F46" s="1">
        <f t="shared" ref="F46:F49" si="44">STDEV(B46:D46)</f>
        <v>0.43255204210688813</v>
      </c>
      <c r="G46">
        <f t="shared" ref="G46:I49" si="45">G25/225184</f>
        <v>5.6174861446639195</v>
      </c>
      <c r="H46">
        <f t="shared" si="45"/>
        <v>6.5877859883473073</v>
      </c>
      <c r="I46">
        <f t="shared" si="45"/>
        <v>6.346667614040074</v>
      </c>
      <c r="J46" s="1">
        <f t="shared" ref="J46:J49" si="46">AVERAGE(G46:I46)</f>
        <v>6.1839799156837669</v>
      </c>
      <c r="K46" s="1">
        <f t="shared" ref="K46:K49" si="47">STDEV(G46:I46)</f>
        <v>0.50519393509854837</v>
      </c>
      <c r="L46">
        <f t="shared" ref="L46:N49" si="48">L25/225184</f>
        <v>5.3621394059968734</v>
      </c>
      <c r="M46">
        <f t="shared" si="48"/>
        <v>5.6304710814267445</v>
      </c>
      <c r="N46">
        <f t="shared" si="48"/>
        <v>5.6092084695182605</v>
      </c>
      <c r="O46" s="1">
        <f t="shared" ref="O46:O49" si="49">AVERAGE(L46:N46)</f>
        <v>5.5339396523139603</v>
      </c>
      <c r="P46" s="1">
        <f t="shared" ref="P46:P49" si="50">STDEV(L46:N46)</f>
        <v>0.14916272370217457</v>
      </c>
      <c r="Q46" s="2">
        <f t="shared" ref="Q46:S49" si="51">Q25/225184</f>
        <v>5.3312846383402022</v>
      </c>
      <c r="R46" s="2">
        <f t="shared" si="51"/>
        <v>4.6840095211027428</v>
      </c>
      <c r="S46" s="2">
        <f t="shared" si="51"/>
        <v>4.8168608782151487</v>
      </c>
      <c r="T46" s="1">
        <f t="shared" ref="T46:T49" si="52">AVERAGE(Q46:S46)</f>
        <v>4.9440516792193643</v>
      </c>
      <c r="U46" s="1">
        <f t="shared" ref="U46:U49" si="53">STDEV(Q46:S46)</f>
        <v>0.34186897233262076</v>
      </c>
      <c r="V46">
        <f t="shared" ref="V46:X49" si="54">V25/225184</f>
        <v>3.4799452891857325</v>
      </c>
      <c r="W46">
        <f t="shared" si="54"/>
        <v>3.0492042063379281</v>
      </c>
      <c r="X46">
        <f t="shared" si="54"/>
        <v>3.4161396902088956</v>
      </c>
      <c r="Y46" s="1">
        <f t="shared" ref="Y46:Y49" si="55">AVERAGE(V46:X46)</f>
        <v>3.315096395244185</v>
      </c>
      <c r="Z46" s="1">
        <f t="shared" ref="Z46:Z49" si="56">STDEV(V46:X46)</f>
        <v>0.2324688811566375</v>
      </c>
      <c r="AA46">
        <f t="shared" ref="AA46:AC49" si="57">AA25/225184</f>
        <v>3.3267550092368907</v>
      </c>
      <c r="AB46">
        <f t="shared" si="57"/>
        <v>3.1010373738809154</v>
      </c>
      <c r="AC46">
        <f t="shared" si="57"/>
        <v>3.3137523092226799</v>
      </c>
      <c r="AD46" s="1">
        <f t="shared" ref="AD46:AD49" si="58">AVERAGE(AA46:AC46)</f>
        <v>3.2471815641134953</v>
      </c>
      <c r="AE46" s="1">
        <f t="shared" ref="AE46:AE49" si="59">STDEV(AA46:AC46)</f>
        <v>0.12673145152631718</v>
      </c>
    </row>
    <row r="47" spans="1:31" x14ac:dyDescent="0.25">
      <c r="A47" t="s">
        <v>3</v>
      </c>
      <c r="B47">
        <f t="shared" si="42"/>
        <v>12.879867130879637</v>
      </c>
      <c r="C47">
        <f t="shared" si="42"/>
        <v>14.554071337217565</v>
      </c>
      <c r="D47">
        <f t="shared" si="42"/>
        <v>12.969376154611339</v>
      </c>
      <c r="E47" s="1">
        <f t="shared" si="43"/>
        <v>13.467771540902847</v>
      </c>
      <c r="F47" s="1">
        <f t="shared" si="44"/>
        <v>0.94182716139289502</v>
      </c>
      <c r="G47">
        <f t="shared" si="45"/>
        <v>12.976765667187722</v>
      </c>
      <c r="H47">
        <f t="shared" si="45"/>
        <v>14.254582918857468</v>
      </c>
      <c r="I47">
        <f t="shared" si="45"/>
        <v>13.781920562739804</v>
      </c>
      <c r="J47" s="1">
        <f t="shared" si="46"/>
        <v>13.671089716261664</v>
      </c>
      <c r="K47" s="1">
        <f t="shared" si="47"/>
        <v>0.64607804448417916</v>
      </c>
      <c r="L47">
        <f t="shared" si="48"/>
        <v>11.716001136848089</v>
      </c>
      <c r="M47">
        <f t="shared" si="48"/>
        <v>12.523731703851073</v>
      </c>
      <c r="N47">
        <f t="shared" si="48"/>
        <v>12.634734261759272</v>
      </c>
      <c r="O47" s="1">
        <f t="shared" si="49"/>
        <v>12.291489034152811</v>
      </c>
      <c r="P47" s="1">
        <f t="shared" si="50"/>
        <v>0.50146797696732226</v>
      </c>
      <c r="Q47" s="2">
        <f t="shared" si="51"/>
        <v>10.96838141253375</v>
      </c>
      <c r="R47" s="2">
        <f t="shared" si="51"/>
        <v>11.034620576950404</v>
      </c>
      <c r="S47" s="2">
        <f t="shared" si="51"/>
        <v>11.330165553502914</v>
      </c>
      <c r="T47" s="1">
        <f t="shared" si="52"/>
        <v>11.111055847662357</v>
      </c>
      <c r="U47" s="1">
        <f t="shared" si="53"/>
        <v>0.19262321802110444</v>
      </c>
      <c r="V47">
        <f t="shared" si="54"/>
        <v>8.8788901520534314</v>
      </c>
      <c r="W47">
        <f t="shared" si="54"/>
        <v>8.0851392638908628</v>
      </c>
      <c r="X47">
        <f t="shared" si="54"/>
        <v>8.9006856615034824</v>
      </c>
      <c r="Y47" s="1">
        <f t="shared" si="55"/>
        <v>8.6215716924825916</v>
      </c>
      <c r="Z47" s="1">
        <f t="shared" si="56"/>
        <v>0.46469191287525374</v>
      </c>
      <c r="AA47">
        <f t="shared" si="57"/>
        <v>8.5758313201648431</v>
      </c>
      <c r="AB47">
        <f t="shared" si="57"/>
        <v>8.3207332670171947</v>
      </c>
      <c r="AC47">
        <f t="shared" si="57"/>
        <v>8.9006856615034824</v>
      </c>
      <c r="AD47" s="1">
        <f t="shared" si="58"/>
        <v>8.5990834162285079</v>
      </c>
      <c r="AE47" s="1">
        <f t="shared" si="59"/>
        <v>0.29067454299630374</v>
      </c>
    </row>
    <row r="48" spans="1:31" x14ac:dyDescent="0.25">
      <c r="A48" t="s">
        <v>4</v>
      </c>
      <c r="B48">
        <f t="shared" si="42"/>
        <v>18.606410757425039</v>
      </c>
      <c r="C48">
        <f t="shared" si="42"/>
        <v>21.533519255364503</v>
      </c>
      <c r="D48">
        <f t="shared" si="42"/>
        <v>21.648998152621857</v>
      </c>
      <c r="E48" s="1">
        <f t="shared" si="43"/>
        <v>20.596309388470466</v>
      </c>
      <c r="F48" s="1">
        <f t="shared" si="44"/>
        <v>1.7242697774145708</v>
      </c>
      <c r="G48">
        <f t="shared" si="45"/>
        <v>18.706231348586044</v>
      </c>
      <c r="H48">
        <f t="shared" si="45"/>
        <v>21.955432002273696</v>
      </c>
      <c r="I48">
        <f t="shared" si="45"/>
        <v>21.163706124769078</v>
      </c>
      <c r="J48" s="1">
        <f t="shared" si="46"/>
        <v>20.608456491876272</v>
      </c>
      <c r="K48" s="1">
        <f t="shared" si="47"/>
        <v>1.6942705917596994</v>
      </c>
      <c r="L48">
        <f t="shared" si="48"/>
        <v>19.954383970441949</v>
      </c>
      <c r="M48">
        <f t="shared" si="48"/>
        <v>19.841036663350859</v>
      </c>
      <c r="N48">
        <f t="shared" si="48"/>
        <v>19.201275401449482</v>
      </c>
      <c r="O48" s="1">
        <f t="shared" si="49"/>
        <v>19.665565345080765</v>
      </c>
      <c r="P48" s="1">
        <f t="shared" si="50"/>
        <v>0.40606128456681778</v>
      </c>
      <c r="Q48" s="2">
        <f t="shared" si="51"/>
        <v>19.106739377575671</v>
      </c>
      <c r="R48" s="2">
        <f t="shared" si="51"/>
        <v>18.277177774619865</v>
      </c>
      <c r="S48" s="2">
        <f t="shared" si="51"/>
        <v>17.108124911183744</v>
      </c>
      <c r="T48" s="1">
        <f t="shared" si="52"/>
        <v>18.164014021126427</v>
      </c>
      <c r="U48" s="1">
        <f t="shared" si="53"/>
        <v>1.0041013258861453</v>
      </c>
      <c r="V48">
        <f t="shared" si="54"/>
        <v>15.052028563308228</v>
      </c>
      <c r="W48">
        <f t="shared" si="54"/>
        <v>14.576630666477191</v>
      </c>
      <c r="X48">
        <f t="shared" si="54"/>
        <v>14.168448912889016</v>
      </c>
      <c r="Y48" s="1">
        <f t="shared" si="55"/>
        <v>14.599036047558144</v>
      </c>
      <c r="Z48" s="1">
        <f t="shared" si="56"/>
        <v>0.44221572844571194</v>
      </c>
      <c r="AA48">
        <f t="shared" si="57"/>
        <v>15.542134432286487</v>
      </c>
      <c r="AB48">
        <f t="shared" si="57"/>
        <v>14.61052295012079</v>
      </c>
      <c r="AC48">
        <f t="shared" si="57"/>
        <v>13.323912889015205</v>
      </c>
      <c r="AD48" s="1">
        <f t="shared" si="58"/>
        <v>14.492190090474161</v>
      </c>
      <c r="AE48" s="1">
        <f t="shared" si="59"/>
        <v>1.1138351327787783</v>
      </c>
    </row>
    <row r="49" spans="1:31" x14ac:dyDescent="0.25">
      <c r="A49" t="s">
        <v>5</v>
      </c>
      <c r="B49">
        <f t="shared" si="42"/>
        <v>26.15983373596703</v>
      </c>
      <c r="C49">
        <f t="shared" si="42"/>
        <v>30.139281654113969</v>
      </c>
      <c r="D49">
        <f t="shared" si="42"/>
        <v>29.174594997868411</v>
      </c>
      <c r="E49" s="1">
        <f t="shared" si="43"/>
        <v>28.491236795983138</v>
      </c>
      <c r="F49" s="1">
        <f t="shared" si="44"/>
        <v>2.0758697592512654</v>
      </c>
      <c r="G49">
        <f t="shared" si="45"/>
        <v>25.732592013642176</v>
      </c>
      <c r="H49">
        <f t="shared" si="45"/>
        <v>29.61979536734404</v>
      </c>
      <c r="I49">
        <f t="shared" si="45"/>
        <v>30.525436975984086</v>
      </c>
      <c r="J49" s="1">
        <f t="shared" si="46"/>
        <v>28.625941452323435</v>
      </c>
      <c r="K49" s="1">
        <f t="shared" si="47"/>
        <v>2.5463012216866439</v>
      </c>
      <c r="L49">
        <f t="shared" si="48"/>
        <v>26.037142958647152</v>
      </c>
      <c r="M49">
        <f t="shared" si="48"/>
        <v>24.365123632229643</v>
      </c>
      <c r="N49">
        <f t="shared" si="48"/>
        <v>26.166175216711668</v>
      </c>
      <c r="O49" s="1">
        <f t="shared" si="49"/>
        <v>25.522813935862818</v>
      </c>
      <c r="P49" s="1">
        <f t="shared" si="50"/>
        <v>1.0046628589979907</v>
      </c>
      <c r="Q49" s="2">
        <f t="shared" si="51"/>
        <v>24.393775756714508</v>
      </c>
      <c r="R49" s="2">
        <f t="shared" si="51"/>
        <v>22.498863151911326</v>
      </c>
      <c r="S49" s="2">
        <f t="shared" si="51"/>
        <v>23.288581782009381</v>
      </c>
      <c r="T49" s="1">
        <f t="shared" si="52"/>
        <v>23.393740230211737</v>
      </c>
      <c r="U49" s="1">
        <f t="shared" si="53"/>
        <v>0.95182307672263367</v>
      </c>
      <c r="V49">
        <f t="shared" si="54"/>
        <v>19.294159442944437</v>
      </c>
      <c r="W49">
        <f t="shared" si="54"/>
        <v>17.861126900667898</v>
      </c>
      <c r="X49">
        <f t="shared" si="54"/>
        <v>19.160242290748897</v>
      </c>
      <c r="Y49" s="1">
        <f t="shared" si="55"/>
        <v>18.77184287812041</v>
      </c>
      <c r="Z49" s="1">
        <f t="shared" si="56"/>
        <v>0.79154036195478061</v>
      </c>
      <c r="AA49">
        <f t="shared" si="57"/>
        <v>20.449818814835869</v>
      </c>
      <c r="AB49">
        <f t="shared" si="57"/>
        <v>21.124467102458436</v>
      </c>
      <c r="AC49">
        <f t="shared" si="57"/>
        <v>18.281334375444082</v>
      </c>
      <c r="AD49" s="1">
        <f t="shared" si="58"/>
        <v>19.951873430912794</v>
      </c>
      <c r="AE49" s="1">
        <f t="shared" si="59"/>
        <v>1.4855346276282964</v>
      </c>
    </row>
  </sheetData>
  <mergeCells count="30">
    <mergeCell ref="AA2:AE2"/>
    <mergeCell ref="B2:F2"/>
    <mergeCell ref="G2:K2"/>
    <mergeCell ref="L2:P2"/>
    <mergeCell ref="Q2:U2"/>
    <mergeCell ref="V2:Z2"/>
    <mergeCell ref="AA22:AE22"/>
    <mergeCell ref="B12:F12"/>
    <mergeCell ref="G12:K12"/>
    <mergeCell ref="L12:P12"/>
    <mergeCell ref="Q12:U12"/>
    <mergeCell ref="V12:Z12"/>
    <mergeCell ref="AA12:AE12"/>
    <mergeCell ref="B22:F22"/>
    <mergeCell ref="G22:K22"/>
    <mergeCell ref="L22:P22"/>
    <mergeCell ref="Q22:U22"/>
    <mergeCell ref="V22:Z22"/>
    <mergeCell ref="AA43:AE43"/>
    <mergeCell ref="B33:F33"/>
    <mergeCell ref="G33:K33"/>
    <mergeCell ref="L33:P33"/>
    <mergeCell ref="Q33:U33"/>
    <mergeCell ref="V33:Z33"/>
    <mergeCell ref="AA33:AE33"/>
    <mergeCell ref="B43:F43"/>
    <mergeCell ref="G43:K43"/>
    <mergeCell ref="L43:P43"/>
    <mergeCell ref="Q43:U43"/>
    <mergeCell ref="V43:Z4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8"/>
  <sheetViews>
    <sheetView tabSelected="1" workbookViewId="0">
      <selection activeCell="E8" sqref="E8:F8"/>
    </sheetView>
  </sheetViews>
  <sheetFormatPr defaultRowHeight="15" x14ac:dyDescent="0.25"/>
  <cols>
    <col min="1" max="1" width="19.7109375" bestFit="1" customWidth="1"/>
    <col min="6" max="6" width="12.85546875" bestFit="1" customWidth="1"/>
    <col min="11" max="11" width="12.85546875" bestFit="1" customWidth="1"/>
  </cols>
  <sheetData>
    <row r="1" spans="1:31" x14ac:dyDescent="0.25">
      <c r="A1" s="1" t="s">
        <v>17</v>
      </c>
    </row>
    <row r="2" spans="1:31" x14ac:dyDescent="0.25">
      <c r="B2" s="8" t="s">
        <v>11</v>
      </c>
      <c r="C2" s="8"/>
      <c r="D2" s="8"/>
      <c r="E2" s="8"/>
      <c r="F2" s="8"/>
      <c r="G2" s="8" t="s">
        <v>12</v>
      </c>
      <c r="H2" s="8"/>
      <c r="I2" s="8"/>
      <c r="J2" s="8"/>
      <c r="K2" s="8"/>
      <c r="L2" s="8" t="s">
        <v>13</v>
      </c>
      <c r="M2" s="8"/>
      <c r="N2" s="8"/>
      <c r="O2" s="8"/>
      <c r="P2" s="8"/>
      <c r="Q2" s="8" t="s">
        <v>14</v>
      </c>
      <c r="R2" s="8"/>
      <c r="S2" s="8"/>
      <c r="T2" s="8"/>
      <c r="U2" s="8"/>
      <c r="V2" s="8" t="s">
        <v>15</v>
      </c>
      <c r="W2" s="8"/>
      <c r="X2" s="8"/>
      <c r="Y2" s="8"/>
      <c r="Z2" s="8"/>
      <c r="AA2" s="8" t="s">
        <v>16</v>
      </c>
      <c r="AB2" s="8"/>
      <c r="AC2" s="8"/>
      <c r="AD2" s="8"/>
      <c r="AE2" s="8"/>
    </row>
    <row r="3" spans="1:31" x14ac:dyDescent="0.25">
      <c r="A3" t="s">
        <v>0</v>
      </c>
      <c r="B3" t="s">
        <v>6</v>
      </c>
      <c r="C3" t="s">
        <v>7</v>
      </c>
      <c r="D3" t="s">
        <v>8</v>
      </c>
      <c r="E3" s="1" t="s">
        <v>9</v>
      </c>
      <c r="F3" s="1" t="s">
        <v>10</v>
      </c>
      <c r="G3" t="s">
        <v>6</v>
      </c>
      <c r="H3" t="s">
        <v>7</v>
      </c>
      <c r="I3" t="s">
        <v>8</v>
      </c>
      <c r="J3" s="1" t="s">
        <v>9</v>
      </c>
      <c r="K3" s="1" t="s">
        <v>10</v>
      </c>
      <c r="L3" t="s">
        <v>6</v>
      </c>
      <c r="M3" t="s">
        <v>7</v>
      </c>
      <c r="N3" t="s">
        <v>8</v>
      </c>
      <c r="O3" s="1" t="s">
        <v>9</v>
      </c>
      <c r="P3" s="1" t="s">
        <v>10</v>
      </c>
      <c r="Q3" t="s">
        <v>6</v>
      </c>
      <c r="R3" t="s">
        <v>7</v>
      </c>
      <c r="S3" t="s">
        <v>8</v>
      </c>
      <c r="T3" s="1" t="s">
        <v>9</v>
      </c>
      <c r="U3" s="1" t="s">
        <v>10</v>
      </c>
      <c r="V3" t="s">
        <v>6</v>
      </c>
      <c r="W3" t="s">
        <v>7</v>
      </c>
      <c r="X3" t="s">
        <v>8</v>
      </c>
      <c r="Y3" s="1" t="s">
        <v>9</v>
      </c>
      <c r="Z3" s="1" t="s">
        <v>10</v>
      </c>
      <c r="AA3" t="s">
        <v>6</v>
      </c>
      <c r="AB3" t="s">
        <v>7</v>
      </c>
      <c r="AC3" t="s">
        <v>8</v>
      </c>
      <c r="AD3" s="1" t="s">
        <v>9</v>
      </c>
      <c r="AE3" s="1" t="s">
        <v>10</v>
      </c>
    </row>
    <row r="4" spans="1:31" x14ac:dyDescent="0.25">
      <c r="A4" t="s">
        <v>1</v>
      </c>
      <c r="B4">
        <v>6.7000000000000004E-2</v>
      </c>
      <c r="C4">
        <v>4.2000000000000003E-2</v>
      </c>
      <c r="D4">
        <v>5.3999999999999999E-2</v>
      </c>
      <c r="E4" s="1">
        <f>AVERAGE(B4:D4)</f>
        <v>5.4333333333333338E-2</v>
      </c>
      <c r="F4" s="1">
        <f>STDEV(B4:D4)</f>
        <v>1.2503332889007355E-2</v>
      </c>
      <c r="G4">
        <v>1.768</v>
      </c>
      <c r="H4">
        <v>1.79</v>
      </c>
      <c r="I4">
        <v>1.8120000000000001</v>
      </c>
      <c r="J4" s="1">
        <f>AVERAGE(G4:I4)</f>
        <v>1.79</v>
      </c>
      <c r="K4" s="1">
        <f>STDEV(G4:I4)</f>
        <v>2.200000000000002E-2</v>
      </c>
      <c r="L4">
        <v>9.58</v>
      </c>
      <c r="M4">
        <v>9.5</v>
      </c>
      <c r="N4">
        <v>9.44</v>
      </c>
      <c r="O4" s="1">
        <f>AVERAGE(L4:N4)</f>
        <v>9.5066666666666659</v>
      </c>
      <c r="P4" s="1">
        <f>STDEV(L4:N4)</f>
        <v>7.0237691685685194E-2</v>
      </c>
      <c r="Q4">
        <v>12.12</v>
      </c>
      <c r="R4">
        <v>11.42</v>
      </c>
      <c r="S4">
        <v>11.76</v>
      </c>
      <c r="T4" s="1">
        <f>AVERAGE(Q4:S4)</f>
        <v>11.766666666666666</v>
      </c>
      <c r="U4" s="1">
        <f>STDEV(Q4:S4)</f>
        <v>0.35004761580866839</v>
      </c>
      <c r="V4">
        <v>17.82</v>
      </c>
      <c r="W4">
        <v>13.06</v>
      </c>
      <c r="X4">
        <v>13.16</v>
      </c>
      <c r="Y4" s="1">
        <f>AVERAGE(V4:X4)</f>
        <v>14.680000000000001</v>
      </c>
      <c r="Z4" s="1">
        <f>STDEV(V4:X4)</f>
        <v>2.7197794028192694</v>
      </c>
      <c r="AA4">
        <v>17.86</v>
      </c>
      <c r="AB4">
        <v>12.48</v>
      </c>
      <c r="AC4">
        <v>12.72</v>
      </c>
      <c r="AD4" s="1">
        <f>AVERAGE(AA4:AC4)</f>
        <v>14.353333333333333</v>
      </c>
      <c r="AE4" s="1">
        <f>STDEV(AA4:AC4)</f>
        <v>3.0392323592205575</v>
      </c>
    </row>
    <row r="5" spans="1:31" x14ac:dyDescent="0.25">
      <c r="A5" t="s">
        <v>2</v>
      </c>
      <c r="B5">
        <v>8.1000000000000003E-2</v>
      </c>
      <c r="C5">
        <v>0.05</v>
      </c>
      <c r="D5">
        <v>7.1999999999999995E-2</v>
      </c>
      <c r="E5" s="1">
        <f t="shared" ref="E5:E8" si="0">AVERAGE(B5:D5)</f>
        <v>6.7666666666666667E-2</v>
      </c>
      <c r="F5" s="1">
        <f t="shared" ref="F5:F8" si="1">STDEV(B5:D5)</f>
        <v>1.5947831618540877E-2</v>
      </c>
      <c r="G5">
        <v>1.702</v>
      </c>
      <c r="H5">
        <v>1.65</v>
      </c>
      <c r="I5">
        <v>1.734</v>
      </c>
      <c r="J5" s="1">
        <f t="shared" ref="J5:J8" si="2">AVERAGE(G5:I5)</f>
        <v>1.6953333333333334</v>
      </c>
      <c r="K5" s="1">
        <f t="shared" ref="K5:K8" si="3">STDEV(G5:I5)</f>
        <v>4.2394968254892425E-2</v>
      </c>
      <c r="L5">
        <v>9.16</v>
      </c>
      <c r="M5">
        <v>8.17</v>
      </c>
      <c r="N5">
        <v>8.56</v>
      </c>
      <c r="O5" s="1">
        <f t="shared" ref="O5:O8" si="4">AVERAGE(L5:N5)</f>
        <v>8.6300000000000008</v>
      </c>
      <c r="P5" s="1">
        <f t="shared" ref="P5:P8" si="5">STDEV(L5:N5)</f>
        <v>0.49869830559166739</v>
      </c>
      <c r="Q5">
        <v>11.32</v>
      </c>
      <c r="R5">
        <v>9.57</v>
      </c>
      <c r="S5">
        <v>9.99</v>
      </c>
      <c r="T5" s="1">
        <f t="shared" ref="T5:T8" si="6">AVERAGE(Q5:S5)</f>
        <v>10.293333333333335</v>
      </c>
      <c r="U5" s="1">
        <f t="shared" ref="U5:U8" si="7">STDEV(Q5:S5)</f>
        <v>0.91358269102108836</v>
      </c>
      <c r="V5">
        <v>16.559999999999999</v>
      </c>
      <c r="W5">
        <v>11.02</v>
      </c>
      <c r="X5">
        <v>10.92</v>
      </c>
      <c r="Y5" s="1">
        <f t="shared" ref="Y5:Y8" si="8">AVERAGE(V5:X5)</f>
        <v>12.833333333333334</v>
      </c>
      <c r="Z5" s="1">
        <f t="shared" ref="Z5:Z8" si="9">STDEV(V5:X5)</f>
        <v>3.2277752916418034</v>
      </c>
      <c r="AA5">
        <v>16.559999999999999</v>
      </c>
      <c r="AB5">
        <v>10.74</v>
      </c>
      <c r="AC5">
        <v>11.22</v>
      </c>
      <c r="AD5" s="1">
        <f t="shared" ref="AD5:AD8" si="10">AVERAGE(AA5:AC5)</f>
        <v>12.839999999999998</v>
      </c>
      <c r="AE5" s="1">
        <f t="shared" ref="AE5:AE8" si="11">STDEV(AA5:AC5)</f>
        <v>3.230541750233245</v>
      </c>
    </row>
    <row r="6" spans="1:31" x14ac:dyDescent="0.25">
      <c r="A6" t="s">
        <v>3</v>
      </c>
      <c r="B6">
        <v>0.08</v>
      </c>
      <c r="C6">
        <v>6.2E-2</v>
      </c>
      <c r="D6">
        <v>0.06</v>
      </c>
      <c r="E6" s="1">
        <f t="shared" si="0"/>
        <v>6.7333333333333342E-2</v>
      </c>
      <c r="F6" s="1">
        <f t="shared" si="1"/>
        <v>1.1015141094572134E-2</v>
      </c>
      <c r="G6">
        <v>1.6519999999999999</v>
      </c>
      <c r="H6">
        <v>1.6819999999999999</v>
      </c>
      <c r="I6">
        <v>1.6319999999999999</v>
      </c>
      <c r="J6" s="1">
        <f t="shared" si="2"/>
        <v>1.6553333333333331</v>
      </c>
      <c r="K6" s="1">
        <f t="shared" si="3"/>
        <v>2.5166114784235857E-2</v>
      </c>
      <c r="L6">
        <v>8.89</v>
      </c>
      <c r="M6">
        <v>8.2200000000000006</v>
      </c>
      <c r="N6">
        <v>8.0399999999999991</v>
      </c>
      <c r="O6" s="1">
        <f t="shared" si="4"/>
        <v>8.3833333333333329</v>
      </c>
      <c r="P6" s="1">
        <f t="shared" si="5"/>
        <v>0.44792112400883016</v>
      </c>
      <c r="Q6">
        <v>10.82</v>
      </c>
      <c r="R6">
        <v>9.7799999999999994</v>
      </c>
      <c r="S6">
        <v>10.199999999999999</v>
      </c>
      <c r="T6" s="1">
        <f t="shared" si="6"/>
        <v>10.266666666666667</v>
      </c>
      <c r="U6" s="1">
        <f t="shared" si="7"/>
        <v>0.52319531088622528</v>
      </c>
      <c r="V6">
        <v>15.46</v>
      </c>
      <c r="W6">
        <v>10.8</v>
      </c>
      <c r="X6">
        <v>10.86</v>
      </c>
      <c r="Y6" s="1">
        <f t="shared" si="8"/>
        <v>12.373333333333335</v>
      </c>
      <c r="Z6" s="1">
        <f t="shared" si="9"/>
        <v>2.6733000829187286</v>
      </c>
      <c r="AA6">
        <v>15.1</v>
      </c>
      <c r="AB6">
        <v>10.94</v>
      </c>
      <c r="AC6">
        <v>10.86</v>
      </c>
      <c r="AD6" s="1">
        <f t="shared" si="10"/>
        <v>12.299999999999999</v>
      </c>
      <c r="AE6" s="1">
        <f t="shared" si="11"/>
        <v>2.4252010225958571</v>
      </c>
    </row>
    <row r="7" spans="1:31" x14ac:dyDescent="0.25">
      <c r="A7" t="s">
        <v>4</v>
      </c>
      <c r="B7">
        <v>7.4999999999999997E-2</v>
      </c>
      <c r="C7">
        <v>7.0999999999999994E-2</v>
      </c>
      <c r="D7">
        <v>5.8999999999999997E-2</v>
      </c>
      <c r="E7" s="1">
        <f t="shared" si="0"/>
        <v>6.8333333333333329E-2</v>
      </c>
      <c r="F7" s="1">
        <f t="shared" si="1"/>
        <v>8.3266639978645304E-3</v>
      </c>
      <c r="G7">
        <v>1.5580000000000001</v>
      </c>
      <c r="H7">
        <v>1.63</v>
      </c>
      <c r="I7">
        <v>1.6319999999999999</v>
      </c>
      <c r="J7" s="1">
        <f t="shared" si="2"/>
        <v>1.6066666666666665</v>
      </c>
      <c r="K7" s="1">
        <f t="shared" si="3"/>
        <v>4.2158431343366248E-2</v>
      </c>
      <c r="L7">
        <v>8.19</v>
      </c>
      <c r="M7">
        <v>7.85</v>
      </c>
      <c r="N7">
        <v>7.49</v>
      </c>
      <c r="O7" s="1">
        <f t="shared" si="4"/>
        <v>7.8433333333333337</v>
      </c>
      <c r="P7" s="1">
        <f t="shared" si="5"/>
        <v>0.35004761580866833</v>
      </c>
      <c r="Q7">
        <v>9.9</v>
      </c>
      <c r="R7">
        <v>9.6</v>
      </c>
      <c r="S7">
        <v>9.73</v>
      </c>
      <c r="T7" s="1">
        <f t="shared" si="6"/>
        <v>9.7433333333333341</v>
      </c>
      <c r="U7" s="1">
        <f t="shared" si="7"/>
        <v>0.15044378795195709</v>
      </c>
      <c r="V7">
        <v>13.34</v>
      </c>
      <c r="W7">
        <v>10.24</v>
      </c>
      <c r="X7">
        <v>11.24</v>
      </c>
      <c r="Y7" s="1">
        <f t="shared" si="8"/>
        <v>11.606666666666667</v>
      </c>
      <c r="Z7" s="1">
        <f t="shared" si="9"/>
        <v>1.5821925715074505</v>
      </c>
      <c r="AA7">
        <v>14.34</v>
      </c>
      <c r="AB7">
        <v>10.68</v>
      </c>
      <c r="AC7">
        <v>10.54</v>
      </c>
      <c r="AD7" s="1">
        <f t="shared" si="10"/>
        <v>11.853333333333333</v>
      </c>
      <c r="AE7" s="1">
        <f t="shared" si="11"/>
        <v>2.1546538778498188</v>
      </c>
    </row>
    <row r="8" spans="1:31" x14ac:dyDescent="0.25">
      <c r="A8" t="s">
        <v>5</v>
      </c>
      <c r="B8">
        <v>6.8000000000000005E-2</v>
      </c>
      <c r="C8">
        <v>6.6000000000000003E-2</v>
      </c>
      <c r="D8">
        <v>5.5E-2</v>
      </c>
      <c r="E8" s="1">
        <f t="shared" si="0"/>
        <v>6.3E-2</v>
      </c>
      <c r="F8" s="1">
        <f t="shared" si="1"/>
        <v>7.0000000000000019E-3</v>
      </c>
      <c r="G8">
        <v>1.528</v>
      </c>
      <c r="H8">
        <v>1.4339999999999999</v>
      </c>
      <c r="I8">
        <v>1.3979999999999999</v>
      </c>
      <c r="J8" s="1">
        <f t="shared" si="2"/>
        <v>1.4533333333333331</v>
      </c>
      <c r="K8" s="1">
        <f t="shared" si="3"/>
        <v>6.7121779873103346E-2</v>
      </c>
      <c r="L8">
        <v>7.97</v>
      </c>
      <c r="M8">
        <v>6.67</v>
      </c>
      <c r="N8">
        <v>6.66</v>
      </c>
      <c r="O8" s="1">
        <f t="shared" si="4"/>
        <v>7.1000000000000005</v>
      </c>
      <c r="P8" s="1">
        <f t="shared" si="5"/>
        <v>0.75345869163478352</v>
      </c>
      <c r="Q8">
        <v>9.7200000000000006</v>
      </c>
      <c r="R8">
        <v>8.16</v>
      </c>
      <c r="S8">
        <v>7.83</v>
      </c>
      <c r="T8" s="1">
        <f t="shared" si="6"/>
        <v>8.57</v>
      </c>
      <c r="U8" s="1">
        <f t="shared" si="7"/>
        <v>1.0095048291117783</v>
      </c>
      <c r="V8">
        <v>12.62</v>
      </c>
      <c r="W8">
        <v>9.84</v>
      </c>
      <c r="X8">
        <v>9.17</v>
      </c>
      <c r="Y8" s="1">
        <f t="shared" si="8"/>
        <v>10.543333333333335</v>
      </c>
      <c r="Z8" s="1">
        <f t="shared" si="9"/>
        <v>1.8293805873391411</v>
      </c>
      <c r="AA8">
        <v>12.38</v>
      </c>
      <c r="AB8">
        <v>8.8000000000000007</v>
      </c>
      <c r="AC8">
        <v>8.41</v>
      </c>
      <c r="AD8" s="1">
        <f t="shared" si="10"/>
        <v>9.8633333333333333</v>
      </c>
      <c r="AE8" s="1">
        <f t="shared" si="11"/>
        <v>2.1882032203004709</v>
      </c>
    </row>
    <row r="11" spans="1:31" x14ac:dyDescent="0.25">
      <c r="A11" s="1" t="s">
        <v>34</v>
      </c>
    </row>
    <row r="12" spans="1:31" x14ac:dyDescent="0.25">
      <c r="B12" s="8" t="s">
        <v>11</v>
      </c>
      <c r="C12" s="8"/>
      <c r="D12" s="8"/>
      <c r="E12" s="8"/>
      <c r="F12" s="8"/>
      <c r="G12" s="8" t="s">
        <v>12</v>
      </c>
      <c r="H12" s="8"/>
      <c r="I12" s="8"/>
      <c r="J12" s="8"/>
      <c r="K12" s="8"/>
      <c r="L12" s="8" t="s">
        <v>13</v>
      </c>
      <c r="M12" s="8"/>
      <c r="N12" s="8"/>
      <c r="O12" s="8"/>
      <c r="P12" s="8"/>
      <c r="Q12" s="8" t="s">
        <v>14</v>
      </c>
      <c r="R12" s="8"/>
      <c r="S12" s="8"/>
      <c r="T12" s="8"/>
      <c r="U12" s="8"/>
      <c r="V12" s="8" t="s">
        <v>15</v>
      </c>
      <c r="W12" s="8"/>
      <c r="X12" s="8"/>
      <c r="Y12" s="8"/>
      <c r="Z12" s="8"/>
      <c r="AA12" s="8" t="s">
        <v>16</v>
      </c>
      <c r="AB12" s="8"/>
      <c r="AC12" s="8"/>
      <c r="AD12" s="8"/>
      <c r="AE12" s="8"/>
    </row>
    <row r="13" spans="1:31" x14ac:dyDescent="0.25">
      <c r="A13" t="s">
        <v>0</v>
      </c>
      <c r="B13" t="s">
        <v>6</v>
      </c>
      <c r="C13" t="s">
        <v>7</v>
      </c>
      <c r="D13" t="s">
        <v>8</v>
      </c>
      <c r="E13" t="s">
        <v>9</v>
      </c>
      <c r="F13" t="s">
        <v>10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6</v>
      </c>
      <c r="M13" t="s">
        <v>7</v>
      </c>
      <c r="N13" t="s">
        <v>8</v>
      </c>
      <c r="O13" t="s">
        <v>9</v>
      </c>
      <c r="P13" t="s">
        <v>10</v>
      </c>
      <c r="Q13" t="s">
        <v>6</v>
      </c>
      <c r="R13" t="s">
        <v>7</v>
      </c>
      <c r="S13" t="s">
        <v>8</v>
      </c>
      <c r="T13" t="s">
        <v>9</v>
      </c>
      <c r="U13" t="s">
        <v>10</v>
      </c>
      <c r="V13" t="s">
        <v>6</v>
      </c>
      <c r="W13" t="s">
        <v>7</v>
      </c>
      <c r="X13" t="s">
        <v>8</v>
      </c>
      <c r="Y13" t="s">
        <v>9</v>
      </c>
      <c r="Z13" t="s">
        <v>10</v>
      </c>
      <c r="AA13" t="s">
        <v>6</v>
      </c>
      <c r="AB13" t="s">
        <v>7</v>
      </c>
      <c r="AC13" t="s">
        <v>8</v>
      </c>
      <c r="AD13" t="s">
        <v>9</v>
      </c>
      <c r="AE13" t="s">
        <v>10</v>
      </c>
    </row>
    <row r="14" spans="1:31" x14ac:dyDescent="0.25">
      <c r="A14" t="s">
        <v>1</v>
      </c>
      <c r="B14">
        <f>3744790*2</f>
        <v>7489580</v>
      </c>
      <c r="C14">
        <f>1670258*4</f>
        <v>6681032</v>
      </c>
      <c r="D14">
        <f>1550469*4</f>
        <v>6201876</v>
      </c>
      <c r="G14">
        <f>1737653*4</f>
        <v>6950612</v>
      </c>
      <c r="H14">
        <f>1457441*4</f>
        <v>5829764</v>
      </c>
      <c r="I14">
        <f>1406294*4</f>
        <v>5625176</v>
      </c>
      <c r="L14">
        <f>1461366*4</f>
        <v>5845464</v>
      </c>
      <c r="M14">
        <f>1159264*4</f>
        <v>4637056</v>
      </c>
      <c r="N14">
        <f>1153116*4</f>
        <v>4612464</v>
      </c>
      <c r="Q14">
        <f>1302594*4</f>
        <v>5210376</v>
      </c>
      <c r="R14">
        <f>901673*4</f>
        <v>3606692</v>
      </c>
      <c r="S14">
        <f>945872*4</f>
        <v>3783488</v>
      </c>
      <c r="V14">
        <f>1005517*4</f>
        <v>4022068</v>
      </c>
      <c r="W14">
        <f>762595*4</f>
        <v>3050380</v>
      </c>
      <c r="X14">
        <f>716976*4</f>
        <v>2867904</v>
      </c>
      <c r="AA14">
        <f>950640*4</f>
        <v>3802560</v>
      </c>
      <c r="AB14">
        <f>742580*4</f>
        <v>2970320</v>
      </c>
      <c r="AC14">
        <f>693881*4</f>
        <v>2775524</v>
      </c>
    </row>
    <row r="15" spans="1:31" x14ac:dyDescent="0.25">
      <c r="A15" t="s">
        <v>2</v>
      </c>
      <c r="B15">
        <f>2807244*2</f>
        <v>5614488</v>
      </c>
      <c r="C15">
        <f>1176580*4</f>
        <v>4706320</v>
      </c>
      <c r="D15">
        <f>1179396*4</f>
        <v>4717584</v>
      </c>
      <c r="G15">
        <f>1313571*4</f>
        <v>5254284</v>
      </c>
      <c r="H15">
        <f>1045528*4</f>
        <v>4182112</v>
      </c>
      <c r="I15">
        <f>1150729*4</f>
        <v>4602916</v>
      </c>
      <c r="L15">
        <f>1099094*4</f>
        <v>4396376</v>
      </c>
      <c r="M15">
        <f>897900*4</f>
        <v>3591600</v>
      </c>
      <c r="N15">
        <f>979741*4</f>
        <v>3918964</v>
      </c>
      <c r="Q15">
        <f>1014468*4</f>
        <v>4057872</v>
      </c>
      <c r="R15">
        <f>778462*4</f>
        <v>3113848</v>
      </c>
      <c r="S15">
        <f>859628*4</f>
        <v>3438512</v>
      </c>
      <c r="V15">
        <f>829181*4</f>
        <v>3316724</v>
      </c>
      <c r="W15">
        <f>635937*4</f>
        <v>2543748</v>
      </c>
      <c r="X15">
        <f>701838*4</f>
        <v>2807352</v>
      </c>
      <c r="AA15">
        <f>794198*4</f>
        <v>3176792</v>
      </c>
      <c r="AB15">
        <f>643028*4</f>
        <v>2572112</v>
      </c>
      <c r="AC15">
        <f>678308*4</f>
        <v>2713232</v>
      </c>
    </row>
    <row r="16" spans="1:31" x14ac:dyDescent="0.25">
      <c r="A16" t="s">
        <v>3</v>
      </c>
      <c r="B16">
        <f>1704139*2</f>
        <v>3408278</v>
      </c>
      <c r="C16">
        <f>787203*4</f>
        <v>3148812</v>
      </c>
      <c r="D16">
        <f>839446*4</f>
        <v>3357784</v>
      </c>
      <c r="G16">
        <f>864782*4</f>
        <v>3459128</v>
      </c>
      <c r="H16">
        <f>672324*4</f>
        <v>2689296</v>
      </c>
      <c r="I16">
        <f>664578*4</f>
        <v>2658312</v>
      </c>
      <c r="L16">
        <f>653009*4</f>
        <v>2612036</v>
      </c>
      <c r="M16">
        <f>539007*4</f>
        <v>2156028</v>
      </c>
      <c r="N16">
        <f>563649*4</f>
        <v>2254596</v>
      </c>
      <c r="Q16">
        <f>655783*4</f>
        <v>2623132</v>
      </c>
      <c r="R16">
        <f>462958*4</f>
        <v>1851832</v>
      </c>
      <c r="S16">
        <f>516390*4</f>
        <v>2065560</v>
      </c>
      <c r="V16">
        <f>526348*4</f>
        <v>2105392</v>
      </c>
      <c r="W16">
        <f>356286*4</f>
        <v>1425144</v>
      </c>
      <c r="X16">
        <f>393491*4</f>
        <v>1573964</v>
      </c>
      <c r="AA16">
        <f>494665*4</f>
        <v>1978660</v>
      </c>
      <c r="AB16">
        <f>344090*4</f>
        <v>1376360</v>
      </c>
      <c r="AC16">
        <f>370505*4</f>
        <v>1482020</v>
      </c>
    </row>
    <row r="17" spans="1:31" x14ac:dyDescent="0.25">
      <c r="A17" t="s">
        <v>4</v>
      </c>
      <c r="B17">
        <f>1089491*2</f>
        <v>2178982</v>
      </c>
      <c r="C17">
        <f>372029*4</f>
        <v>1488116</v>
      </c>
      <c r="D17">
        <f>450134*4</f>
        <v>1800536</v>
      </c>
      <c r="G17">
        <f>497871*4</f>
        <v>1991484</v>
      </c>
      <c r="H17">
        <f>292783*4</f>
        <v>1171132</v>
      </c>
      <c r="I17">
        <f>341961*4</f>
        <v>1367844</v>
      </c>
      <c r="L17">
        <f>375648*4</f>
        <v>1502592</v>
      </c>
      <c r="M17">
        <f>189483*4</f>
        <v>757932</v>
      </c>
      <c r="N17">
        <f>240137*4</f>
        <v>960548</v>
      </c>
      <c r="Q17">
        <f>316698*4</f>
        <v>1266792</v>
      </c>
      <c r="R17">
        <f>139212*4</f>
        <v>556848</v>
      </c>
      <c r="S17">
        <f>183423*4</f>
        <v>733692</v>
      </c>
      <c r="V17">
        <f>270313*4</f>
        <v>1081252</v>
      </c>
      <c r="W17">
        <f>80487*4</f>
        <v>321948</v>
      </c>
      <c r="X17">
        <f>115153*4</f>
        <v>460612</v>
      </c>
      <c r="AA17">
        <f>238511*4</f>
        <v>954044</v>
      </c>
      <c r="AB17">
        <f>74572*4</f>
        <v>298288</v>
      </c>
      <c r="AC17">
        <f>105042*4</f>
        <v>420168</v>
      </c>
    </row>
    <row r="18" spans="1:31" x14ac:dyDescent="0.25">
      <c r="A18" t="s">
        <v>5</v>
      </c>
      <c r="B18">
        <f>315303*2</f>
        <v>630606</v>
      </c>
      <c r="C18">
        <f>16020*4</f>
        <v>64080</v>
      </c>
      <c r="D18">
        <f>31022*4</f>
        <v>124088</v>
      </c>
      <c r="G18">
        <f>128626*4</f>
        <v>514504</v>
      </c>
      <c r="H18">
        <f>7418*4</f>
        <v>29672</v>
      </c>
      <c r="I18">
        <f>27700*4</f>
        <v>110800</v>
      </c>
      <c r="L18">
        <f>68829*4</f>
        <v>275316</v>
      </c>
      <c r="M18">
        <f>9506*4</f>
        <v>38024</v>
      </c>
      <c r="N18">
        <f>25229*4</f>
        <v>100916</v>
      </c>
      <c r="Q18">
        <f>38023*4</f>
        <v>152092</v>
      </c>
      <c r="R18">
        <f>8726*4</f>
        <v>34904</v>
      </c>
      <c r="S18">
        <f>26068*4</f>
        <v>104272</v>
      </c>
      <c r="V18">
        <f>24361*4</f>
        <v>97444</v>
      </c>
      <c r="W18">
        <f>7871*4</f>
        <v>31484</v>
      </c>
      <c r="X18">
        <f>26423*4</f>
        <v>105692</v>
      </c>
      <c r="AA18">
        <f>12795*4</f>
        <v>51180</v>
      </c>
      <c r="AB18">
        <f>5031*4</f>
        <v>20124</v>
      </c>
      <c r="AC18">
        <f>23058*4</f>
        <v>92232</v>
      </c>
    </row>
    <row r="21" spans="1:31" x14ac:dyDescent="0.25">
      <c r="A21" s="1" t="s">
        <v>35</v>
      </c>
    </row>
    <row r="22" spans="1:31" x14ac:dyDescent="0.25">
      <c r="B22" s="8" t="s">
        <v>11</v>
      </c>
      <c r="C22" s="8"/>
      <c r="D22" s="8"/>
      <c r="E22" s="8"/>
      <c r="F22" s="8"/>
      <c r="G22" s="8" t="s">
        <v>12</v>
      </c>
      <c r="H22" s="8"/>
      <c r="I22" s="8"/>
      <c r="J22" s="8"/>
      <c r="K22" s="8"/>
      <c r="L22" s="8" t="s">
        <v>13</v>
      </c>
      <c r="M22" s="8"/>
      <c r="N22" s="8"/>
      <c r="O22" s="8"/>
      <c r="P22" s="8"/>
      <c r="Q22" s="8" t="s">
        <v>14</v>
      </c>
      <c r="R22" s="8"/>
      <c r="S22" s="8"/>
      <c r="T22" s="8"/>
      <c r="U22" s="8"/>
      <c r="V22" s="8" t="s">
        <v>15</v>
      </c>
      <c r="W22" s="8"/>
      <c r="X22" s="8"/>
      <c r="Y22" s="8"/>
      <c r="Z22" s="8"/>
      <c r="AA22" s="8" t="s">
        <v>16</v>
      </c>
      <c r="AB22" s="8"/>
      <c r="AC22" s="8"/>
      <c r="AD22" s="8"/>
      <c r="AE22" s="8"/>
    </row>
    <row r="23" spans="1:31" x14ac:dyDescent="0.25">
      <c r="A23" t="s">
        <v>0</v>
      </c>
      <c r="B23" t="s">
        <v>6</v>
      </c>
      <c r="C23" t="s">
        <v>7</v>
      </c>
      <c r="D23" t="s">
        <v>8</v>
      </c>
      <c r="E23" t="s">
        <v>9</v>
      </c>
      <c r="F23" t="s">
        <v>10</v>
      </c>
      <c r="G23" t="s">
        <v>6</v>
      </c>
      <c r="H23" t="s">
        <v>7</v>
      </c>
      <c r="I23" t="s">
        <v>8</v>
      </c>
      <c r="J23" t="s">
        <v>9</v>
      </c>
      <c r="K23" t="s">
        <v>10</v>
      </c>
      <c r="L23" t="s">
        <v>6</v>
      </c>
      <c r="M23" t="s">
        <v>7</v>
      </c>
      <c r="N23" t="s">
        <v>8</v>
      </c>
      <c r="O23" t="s">
        <v>9</v>
      </c>
      <c r="P23" t="s">
        <v>10</v>
      </c>
      <c r="Q23" t="s">
        <v>6</v>
      </c>
      <c r="R23" t="s">
        <v>7</v>
      </c>
      <c r="S23" t="s">
        <v>8</v>
      </c>
      <c r="T23" t="s">
        <v>9</v>
      </c>
      <c r="U23" t="s">
        <v>10</v>
      </c>
      <c r="V23" t="s">
        <v>6</v>
      </c>
      <c r="W23" t="s">
        <v>7</v>
      </c>
      <c r="X23" t="s">
        <v>8</v>
      </c>
      <c r="Y23" t="s">
        <v>9</v>
      </c>
      <c r="Z23" t="s">
        <v>10</v>
      </c>
      <c r="AA23" t="s">
        <v>6</v>
      </c>
      <c r="AB23" t="s">
        <v>7</v>
      </c>
      <c r="AC23" t="s">
        <v>8</v>
      </c>
      <c r="AD23" t="s">
        <v>9</v>
      </c>
      <c r="AE23" t="s">
        <v>10</v>
      </c>
    </row>
    <row r="24" spans="1:31" x14ac:dyDescent="0.25">
      <c r="A24" t="s">
        <v>1</v>
      </c>
      <c r="B24">
        <f>24472*2</f>
        <v>48944</v>
      </c>
      <c r="C24">
        <v>0</v>
      </c>
      <c r="D24">
        <f>20127*4</f>
        <v>80508</v>
      </c>
      <c r="G24">
        <f>13353*4</f>
        <v>53412</v>
      </c>
      <c r="H24">
        <f>1959*4</f>
        <v>7836</v>
      </c>
      <c r="I24">
        <f>39653*4</f>
        <v>158612</v>
      </c>
      <c r="L24">
        <f>5975*4</f>
        <v>23900</v>
      </c>
      <c r="M24">
        <f>3626*4</f>
        <v>14504</v>
      </c>
      <c r="N24">
        <f>43171*4</f>
        <v>172684</v>
      </c>
      <c r="Q24">
        <f>6551*4</f>
        <v>26204</v>
      </c>
      <c r="R24">
        <f>3715*4</f>
        <v>14860</v>
      </c>
      <c r="S24">
        <f>39541*4</f>
        <v>158164</v>
      </c>
      <c r="V24">
        <f>13123*4</f>
        <v>52492</v>
      </c>
      <c r="W24">
        <f>7337*4</f>
        <v>29348</v>
      </c>
      <c r="X24">
        <f>37867*4</f>
        <v>151468</v>
      </c>
      <c r="AA24">
        <f>12929*4</f>
        <v>51716</v>
      </c>
      <c r="AB24">
        <f>7320*4</f>
        <v>29280</v>
      </c>
      <c r="AC24">
        <f>37179*4</f>
        <v>148716</v>
      </c>
    </row>
    <row r="25" spans="1:31" x14ac:dyDescent="0.25">
      <c r="A25" t="s">
        <v>2</v>
      </c>
      <c r="B25">
        <f>668378*2</f>
        <v>1336756</v>
      </c>
      <c r="C25">
        <f>362575*4</f>
        <v>1450300</v>
      </c>
      <c r="D25">
        <f>417471*4</f>
        <v>1669884</v>
      </c>
      <c r="G25">
        <f>341033*4</f>
        <v>1364132</v>
      </c>
      <c r="H25">
        <f>340339*4</f>
        <v>1361356</v>
      </c>
      <c r="I25">
        <f>445293*4</f>
        <v>1781172</v>
      </c>
      <c r="L25">
        <f>320408*4</f>
        <v>1281632</v>
      </c>
      <c r="M25">
        <f>324804*4</f>
        <v>1299216</v>
      </c>
      <c r="N25">
        <f>417973*4</f>
        <v>1671892</v>
      </c>
      <c r="Q25">
        <f>300130*4</f>
        <v>1200520</v>
      </c>
      <c r="R25">
        <f>288288*4</f>
        <v>1153152</v>
      </c>
      <c r="S25">
        <f>375216*4</f>
        <v>1500864</v>
      </c>
      <c r="V25">
        <f>241246*4</f>
        <v>964984</v>
      </c>
      <c r="W25">
        <f>238938*4</f>
        <v>955752</v>
      </c>
      <c r="X25">
        <f>315611*4</f>
        <v>1262444</v>
      </c>
      <c r="AA25">
        <f>230953*4</f>
        <v>923812</v>
      </c>
      <c r="AB25">
        <f>240853*4</f>
        <v>963412</v>
      </c>
      <c r="AC25">
        <f>302782*4</f>
        <v>1211128</v>
      </c>
    </row>
    <row r="26" spans="1:31" x14ac:dyDescent="0.25">
      <c r="A26" t="s">
        <v>3</v>
      </c>
      <c r="B26">
        <f>1283095*2</f>
        <v>2566190</v>
      </c>
      <c r="C26">
        <f>806853*4</f>
        <v>3227412</v>
      </c>
      <c r="D26">
        <f>895032*4</f>
        <v>3580128</v>
      </c>
      <c r="G26">
        <f>710605*4</f>
        <v>2842420</v>
      </c>
      <c r="H26">
        <f>780097*4</f>
        <v>3120388</v>
      </c>
      <c r="I26">
        <f>794838*4</f>
        <v>3179352</v>
      </c>
      <c r="L26">
        <f>625692*4</f>
        <v>2502768</v>
      </c>
      <c r="M26">
        <f>728960*4</f>
        <v>2915840</v>
      </c>
      <c r="N26">
        <f>780553*4</f>
        <v>3122212</v>
      </c>
      <c r="Q26">
        <f>657567*4</f>
        <v>2630268</v>
      </c>
      <c r="R26">
        <f>674626*4</f>
        <v>2698504</v>
      </c>
      <c r="S26">
        <f>760152*4</f>
        <v>3040608</v>
      </c>
      <c r="V26">
        <f>547873*4</f>
        <v>2191492</v>
      </c>
      <c r="W26">
        <f>586034*4</f>
        <v>2344136</v>
      </c>
      <c r="X26">
        <f>645569*4</f>
        <v>2582276</v>
      </c>
      <c r="AA26">
        <f>522437*4</f>
        <v>2089748</v>
      </c>
      <c r="AB26">
        <f>584826*4</f>
        <v>2339304</v>
      </c>
      <c r="AC26">
        <f>619175*4</f>
        <v>2476700</v>
      </c>
    </row>
    <row r="27" spans="1:31" x14ac:dyDescent="0.25">
      <c r="A27" t="s">
        <v>4</v>
      </c>
      <c r="B27">
        <f>2312839*2</f>
        <v>4625678</v>
      </c>
      <c r="C27">
        <f>1300554*4</f>
        <v>5202216</v>
      </c>
      <c r="D27">
        <f>1352429*4</f>
        <v>5409716</v>
      </c>
      <c r="G27">
        <f>1142147*4</f>
        <v>4568588</v>
      </c>
      <c r="H27">
        <f>1256482*4</f>
        <v>5025928</v>
      </c>
      <c r="I27">
        <f>1217689*4</f>
        <v>4870756</v>
      </c>
      <c r="L27">
        <f>1108649*4</f>
        <v>4434596</v>
      </c>
      <c r="M27">
        <f>1159388*4</f>
        <v>4637552</v>
      </c>
      <c r="N27">
        <f>1186480*4</f>
        <v>4745920</v>
      </c>
      <c r="Q27">
        <f>1026322*4</f>
        <v>4105288</v>
      </c>
      <c r="R27">
        <f>1067633*4</f>
        <v>4270532</v>
      </c>
      <c r="S27">
        <f>1081447*4</f>
        <v>4325788</v>
      </c>
      <c r="V27">
        <f>847369*4</f>
        <v>3389476</v>
      </c>
      <c r="W27">
        <f>956760*4</f>
        <v>3827040</v>
      </c>
      <c r="X27">
        <f>971251*4</f>
        <v>3885004</v>
      </c>
      <c r="AA27">
        <f>931896*4</f>
        <v>3727584</v>
      </c>
      <c r="AB27">
        <f>955352*4</f>
        <v>3821408</v>
      </c>
      <c r="AC27">
        <f>956704*4</f>
        <v>3826816</v>
      </c>
    </row>
    <row r="28" spans="1:31" x14ac:dyDescent="0.25">
      <c r="A28" t="s">
        <v>5</v>
      </c>
      <c r="B28">
        <f>3135298*2</f>
        <v>6270596</v>
      </c>
      <c r="C28">
        <f>1802353*4</f>
        <v>7209412</v>
      </c>
      <c r="D28">
        <f>1619526*4</f>
        <v>6478104</v>
      </c>
      <c r="G28">
        <f>1586167*4</f>
        <v>6344668</v>
      </c>
      <c r="H28">
        <f>1650973*4</f>
        <v>6603892</v>
      </c>
      <c r="I28">
        <f>1659949*4</f>
        <v>6639796</v>
      </c>
      <c r="L28">
        <f>1557171*4</f>
        <v>6228684</v>
      </c>
      <c r="M28">
        <f>1515246*4</f>
        <v>6060984</v>
      </c>
      <c r="N28">
        <f>1478402*4</f>
        <v>5913608</v>
      </c>
      <c r="Q28">
        <f>1413907*4</f>
        <v>5655628</v>
      </c>
      <c r="R28">
        <f>1375032*4</f>
        <v>5500128</v>
      </c>
      <c r="S28">
        <f>1353057*4</f>
        <v>5412228</v>
      </c>
      <c r="V28">
        <f>1260506*4</f>
        <v>5042024</v>
      </c>
      <c r="W28">
        <f>1211191*4</f>
        <v>4844764</v>
      </c>
      <c r="X28">
        <f>1143953*4</f>
        <v>4575812</v>
      </c>
      <c r="AA28">
        <f>1244865*4</f>
        <v>4979460</v>
      </c>
      <c r="AB28">
        <f>1189223*4</f>
        <v>4756892</v>
      </c>
      <c r="AC28">
        <f>1181398*4</f>
        <v>4725592</v>
      </c>
    </row>
    <row r="31" spans="1:31" x14ac:dyDescent="0.25">
      <c r="A31" s="1" t="s">
        <v>19</v>
      </c>
    </row>
    <row r="32" spans="1:31" x14ac:dyDescent="0.25">
      <c r="B32" s="8" t="s">
        <v>11</v>
      </c>
      <c r="C32" s="8"/>
      <c r="D32" s="8"/>
      <c r="E32" s="8"/>
      <c r="F32" s="8"/>
      <c r="G32" s="8" t="s">
        <v>12</v>
      </c>
      <c r="H32" s="8"/>
      <c r="I32" s="8"/>
      <c r="J32" s="8"/>
      <c r="K32" s="8"/>
      <c r="L32" s="8" t="s">
        <v>13</v>
      </c>
      <c r="M32" s="8"/>
      <c r="N32" s="8"/>
      <c r="O32" s="8"/>
      <c r="P32" s="8"/>
      <c r="Q32" s="8" t="s">
        <v>14</v>
      </c>
      <c r="R32" s="8"/>
      <c r="S32" s="8"/>
      <c r="T32" s="8"/>
      <c r="U32" s="8"/>
      <c r="V32" s="8" t="s">
        <v>15</v>
      </c>
      <c r="W32" s="8"/>
      <c r="X32" s="8"/>
      <c r="Y32" s="8"/>
      <c r="Z32" s="8"/>
      <c r="AA32" s="8" t="s">
        <v>16</v>
      </c>
      <c r="AB32" s="8"/>
      <c r="AC32" s="8"/>
      <c r="AD32" s="8"/>
      <c r="AE32" s="8"/>
    </row>
    <row r="33" spans="1:31" x14ac:dyDescent="0.25">
      <c r="A33" t="s">
        <v>0</v>
      </c>
      <c r="B33" t="s">
        <v>6</v>
      </c>
      <c r="C33" t="s">
        <v>7</v>
      </c>
      <c r="D33" t="s">
        <v>8</v>
      </c>
      <c r="E33" s="1" t="s">
        <v>9</v>
      </c>
      <c r="F33" s="1" t="s">
        <v>10</v>
      </c>
      <c r="G33" t="s">
        <v>6</v>
      </c>
      <c r="H33" t="s">
        <v>7</v>
      </c>
      <c r="I33" t="s">
        <v>8</v>
      </c>
      <c r="J33" s="1" t="s">
        <v>9</v>
      </c>
      <c r="K33" s="1" t="s">
        <v>10</v>
      </c>
      <c r="L33" t="s">
        <v>6</v>
      </c>
      <c r="M33" t="s">
        <v>7</v>
      </c>
      <c r="N33" t="s">
        <v>8</v>
      </c>
      <c r="O33" s="1" t="s">
        <v>9</v>
      </c>
      <c r="P33" s="1" t="s">
        <v>10</v>
      </c>
      <c r="Q33" t="s">
        <v>6</v>
      </c>
      <c r="R33" t="s">
        <v>7</v>
      </c>
      <c r="S33" t="s">
        <v>8</v>
      </c>
      <c r="T33" s="1" t="s">
        <v>9</v>
      </c>
      <c r="U33" s="1" t="s">
        <v>10</v>
      </c>
      <c r="V33" t="s">
        <v>6</v>
      </c>
      <c r="W33" t="s">
        <v>7</v>
      </c>
      <c r="X33" t="s">
        <v>8</v>
      </c>
      <c r="Y33" s="1" t="s">
        <v>9</v>
      </c>
      <c r="Z33" s="1" t="s">
        <v>10</v>
      </c>
      <c r="AA33" t="s">
        <v>6</v>
      </c>
      <c r="AB33" t="s">
        <v>7</v>
      </c>
      <c r="AC33" t="s">
        <v>8</v>
      </c>
      <c r="AD33" s="1" t="s">
        <v>9</v>
      </c>
      <c r="AE33" s="1" t="s">
        <v>10</v>
      </c>
    </row>
    <row r="34" spans="1:31" x14ac:dyDescent="0.25">
      <c r="A34" t="s">
        <v>1</v>
      </c>
      <c r="B34">
        <f>(B14-1322.2)/230220</f>
        <v>32.526530275388758</v>
      </c>
      <c r="C34">
        <f t="shared" ref="C34:D34" si="12">(C14-1322.2)/230220</f>
        <v>29.014463556598034</v>
      </c>
      <c r="D34">
        <f t="shared" si="12"/>
        <v>26.933167405090781</v>
      </c>
      <c r="E34" s="1">
        <f>AVERAGE(B34:D34)</f>
        <v>29.491387079025859</v>
      </c>
      <c r="F34" s="1">
        <f>STDEV(B34:D34)</f>
        <v>2.8270159328151525</v>
      </c>
      <c r="G34">
        <f>(G14-1322.2)/230220</f>
        <v>30.18543045782295</v>
      </c>
      <c r="H34">
        <f t="shared" ref="H34:I34" si="13">(H14-1322.2)/230220</f>
        <v>25.316835201111978</v>
      </c>
      <c r="I34">
        <f t="shared" si="13"/>
        <v>24.428172183129181</v>
      </c>
      <c r="J34" s="1">
        <f>AVERAGE(G34:I34)</f>
        <v>26.643479280688037</v>
      </c>
      <c r="K34" s="1">
        <f>STDEV(G34:I34)</f>
        <v>3.0994344799960074</v>
      </c>
      <c r="L34">
        <f>(L14-1322.2)/230220</f>
        <v>25.385030840066023</v>
      </c>
      <c r="M34">
        <f t="shared" ref="M34:N34" si="14">(M14-1322.2)/230220</f>
        <v>20.136103726869951</v>
      </c>
      <c r="N34">
        <f t="shared" si="14"/>
        <v>20.029284162974545</v>
      </c>
      <c r="O34" s="1">
        <f>AVERAGE(L34:N34)</f>
        <v>21.850139576636838</v>
      </c>
      <c r="P34" s="1">
        <f>STDEV(L34:N34)</f>
        <v>3.0617715113980228</v>
      </c>
      <c r="Q34">
        <f>(Q14-1322.2)/230220</f>
        <v>22.626417339935713</v>
      </c>
      <c r="R34">
        <f t="shared" ref="R34:S34" si="15">(R14-1322.2)/230220</f>
        <v>15.660541221440361</v>
      </c>
      <c r="S34">
        <f t="shared" si="15"/>
        <v>16.428484927460691</v>
      </c>
      <c r="T34" s="1">
        <f>AVERAGE(Q34:S34)</f>
        <v>18.23848116294559</v>
      </c>
      <c r="U34" s="1">
        <f>STDEV(Q34:S34)</f>
        <v>3.8194138691569024</v>
      </c>
      <c r="V34">
        <f>(V14-1322.2)/230220</f>
        <v>17.464798019285901</v>
      </c>
      <c r="W34">
        <f t="shared" ref="W34:X34" si="16">(W14-1322.2)/230220</f>
        <v>13.244104769351054</v>
      </c>
      <c r="X34">
        <f t="shared" si="16"/>
        <v>12.451489010511684</v>
      </c>
      <c r="Y34" s="1">
        <f>AVERAGE(V34:X34)</f>
        <v>14.38679726638288</v>
      </c>
      <c r="Z34" s="1">
        <f>STDEV(V34:X34)</f>
        <v>2.6949260493460225</v>
      </c>
      <c r="AA34">
        <f>(AA14-1322.2)/230220</f>
        <v>16.511327425940404</v>
      </c>
      <c r="AB34">
        <f t="shared" ref="AB34:AC34" si="17">(AB14-1322.2)/230220</f>
        <v>12.89635044739814</v>
      </c>
      <c r="AC34">
        <f t="shared" si="17"/>
        <v>12.050220658500564</v>
      </c>
      <c r="AD34" s="1">
        <f>AVERAGE(AA34:AC34)</f>
        <v>13.819299510613035</v>
      </c>
      <c r="AE34" s="1">
        <f>STDEV(AA34:AC34)</f>
        <v>2.3694397286260198</v>
      </c>
    </row>
    <row r="35" spans="1:31" x14ac:dyDescent="0.25">
      <c r="A35" t="s">
        <v>2</v>
      </c>
      <c r="B35">
        <f t="shared" ref="B35:D38" si="18">(B15-1322.2)/230220</f>
        <v>24.381747024585177</v>
      </c>
      <c r="C35">
        <f t="shared" si="18"/>
        <v>20.436963773781599</v>
      </c>
      <c r="D35">
        <f t="shared" si="18"/>
        <v>20.485890886977671</v>
      </c>
      <c r="E35" s="1">
        <f t="shared" ref="E35:E38" si="19">AVERAGE(B35:D35)</f>
        <v>21.768200561781484</v>
      </c>
      <c r="F35" s="1">
        <f t="shared" ref="F35:F38" si="20">STDEV(B35:D35)</f>
        <v>2.2635298320381607</v>
      </c>
      <c r="G35">
        <f t="shared" ref="G35:I38" si="21">(G15-1322.2)/230220</f>
        <v>22.817139258100948</v>
      </c>
      <c r="H35">
        <f t="shared" si="21"/>
        <v>18.159976544175137</v>
      </c>
      <c r="I35">
        <f t="shared" si="21"/>
        <v>19.987810789679436</v>
      </c>
      <c r="J35" s="1">
        <f t="shared" ref="J35:J38" si="22">AVERAGE(G35:I35)</f>
        <v>20.321642197318507</v>
      </c>
      <c r="K35" s="1">
        <f t="shared" ref="K35:K38" si="23">STDEV(G35:I35)</f>
        <v>2.3464598212072412</v>
      </c>
      <c r="L35">
        <f t="shared" ref="L35:N38" si="24">(L15-1322.2)/230220</f>
        <v>19.090668925375727</v>
      </c>
      <c r="M35">
        <f t="shared" si="24"/>
        <v>15.594986534619059</v>
      </c>
      <c r="N35">
        <f t="shared" si="24"/>
        <v>17.016948136565023</v>
      </c>
      <c r="O35" s="1">
        <f t="shared" ref="O35:O38" si="25">AVERAGE(L35:N35)</f>
        <v>17.23420119885327</v>
      </c>
      <c r="P35" s="1">
        <f t="shared" ref="P35:P38" si="26">STDEV(L35:N35)</f>
        <v>1.7579385694803957</v>
      </c>
      <c r="Q35">
        <f t="shared" ref="Q35:S38" si="27">(Q15-1322.2)/230220</f>
        <v>17.620318825471287</v>
      </c>
      <c r="R35">
        <f t="shared" si="27"/>
        <v>13.51978889757623</v>
      </c>
      <c r="S35">
        <f t="shared" si="27"/>
        <v>14.930022587090608</v>
      </c>
      <c r="T35" s="1">
        <f t="shared" ref="T35:T38" si="28">AVERAGE(Q35:S35)</f>
        <v>15.356710103379376</v>
      </c>
      <c r="U35" s="1">
        <f t="shared" ref="U35:U38" si="29">STDEV(Q35:S35)</f>
        <v>2.0832986103312865</v>
      </c>
      <c r="V35">
        <f t="shared" ref="V35:X38" si="30">(V15-1322.2)/230220</f>
        <v>14.40101555034315</v>
      </c>
      <c r="W35">
        <f t="shared" si="30"/>
        <v>11.043461906002953</v>
      </c>
      <c r="X35">
        <f t="shared" si="30"/>
        <v>12.188471027712621</v>
      </c>
      <c r="Y35" s="1">
        <f t="shared" ref="Y35:Y38" si="31">AVERAGE(V35:X35)</f>
        <v>12.544316161352908</v>
      </c>
      <c r="Z35" s="1">
        <f t="shared" ref="Z35:Z38" si="32">STDEV(V35:X35)</f>
        <v>1.7068277411640407</v>
      </c>
      <c r="AA35">
        <f t="shared" ref="AA35:AC38" si="33">(AA15-1322.2)/230220</f>
        <v>13.793196942055424</v>
      </c>
      <c r="AB35">
        <f t="shared" si="33"/>
        <v>11.166665797932412</v>
      </c>
      <c r="AC35">
        <f t="shared" si="33"/>
        <v>11.779644687690034</v>
      </c>
      <c r="AD35" s="1">
        <f t="shared" ref="AD35:AD38" si="34">AVERAGE(AA35:AC35)</f>
        <v>12.246502475892621</v>
      </c>
      <c r="AE35" s="1">
        <f t="shared" ref="AE35:AE38" si="35">STDEV(AA35:AC35)</f>
        <v>1.3740937408219627</v>
      </c>
    </row>
    <row r="36" spans="1:31" x14ac:dyDescent="0.25">
      <c r="A36" t="s">
        <v>3</v>
      </c>
      <c r="B36">
        <f t="shared" si="18"/>
        <v>14.798696029884457</v>
      </c>
      <c r="C36">
        <f t="shared" si="18"/>
        <v>13.671661019894014</v>
      </c>
      <c r="D36">
        <f t="shared" si="18"/>
        <v>14.579366692728694</v>
      </c>
      <c r="E36" s="1">
        <f t="shared" si="19"/>
        <v>14.349907914169057</v>
      </c>
      <c r="F36" s="1">
        <f t="shared" si="20"/>
        <v>0.59752864092828284</v>
      </c>
      <c r="G36">
        <f t="shared" si="21"/>
        <v>15.019571714012683</v>
      </c>
      <c r="H36">
        <f t="shared" si="21"/>
        <v>11.675674572148379</v>
      </c>
      <c r="I36">
        <f t="shared" si="21"/>
        <v>11.541090261489011</v>
      </c>
      <c r="J36" s="1">
        <f t="shared" si="22"/>
        <v>12.745445515883356</v>
      </c>
      <c r="K36" s="1">
        <f t="shared" si="23"/>
        <v>1.9706003420106761</v>
      </c>
      <c r="L36">
        <f t="shared" si="24"/>
        <v>11.340082529754147</v>
      </c>
      <c r="M36">
        <f t="shared" si="24"/>
        <v>9.3593336808270333</v>
      </c>
      <c r="N36">
        <f t="shared" si="24"/>
        <v>9.787480670662843</v>
      </c>
      <c r="O36" s="1">
        <f t="shared" si="25"/>
        <v>10.162298960414674</v>
      </c>
      <c r="P36" s="1">
        <f t="shared" si="26"/>
        <v>1.0422130604539972</v>
      </c>
      <c r="Q36">
        <f t="shared" si="27"/>
        <v>11.388279906176701</v>
      </c>
      <c r="R36">
        <f t="shared" si="27"/>
        <v>8.0380062548866302</v>
      </c>
      <c r="S36">
        <f t="shared" si="27"/>
        <v>8.9663704282859875</v>
      </c>
      <c r="T36" s="1">
        <f t="shared" si="28"/>
        <v>9.4642188631164395</v>
      </c>
      <c r="U36" s="1">
        <f t="shared" si="29"/>
        <v>1.7297321129815042</v>
      </c>
      <c r="V36">
        <f t="shared" si="30"/>
        <v>9.1393875423507946</v>
      </c>
      <c r="W36">
        <f t="shared" si="30"/>
        <v>6.1846138476240125</v>
      </c>
      <c r="X36">
        <f t="shared" si="30"/>
        <v>6.8310390061680133</v>
      </c>
      <c r="Y36" s="1">
        <f t="shared" si="31"/>
        <v>7.3850134653809398</v>
      </c>
      <c r="Z36" s="1">
        <f t="shared" si="32"/>
        <v>1.5533311536364423</v>
      </c>
      <c r="AA36">
        <f t="shared" si="33"/>
        <v>8.5889053948397187</v>
      </c>
      <c r="AB36">
        <f t="shared" si="33"/>
        <v>5.9727121883415863</v>
      </c>
      <c r="AC36">
        <f t="shared" si="33"/>
        <v>6.4316644948310318</v>
      </c>
      <c r="AD36" s="1">
        <f t="shared" si="34"/>
        <v>6.9977606926707798</v>
      </c>
      <c r="AE36" s="1">
        <f t="shared" si="35"/>
        <v>1.396948604043184</v>
      </c>
    </row>
    <row r="37" spans="1:31" x14ac:dyDescent="0.25">
      <c r="A37" t="s">
        <v>4</v>
      </c>
      <c r="B37">
        <f t="shared" si="18"/>
        <v>9.4590383111806098</v>
      </c>
      <c r="C37">
        <f t="shared" si="18"/>
        <v>6.4581435148987927</v>
      </c>
      <c r="D37">
        <f t="shared" si="18"/>
        <v>7.815193293371558</v>
      </c>
      <c r="E37" s="1">
        <f t="shared" si="19"/>
        <v>7.9107917064836535</v>
      </c>
      <c r="F37" s="1">
        <f t="shared" si="20"/>
        <v>1.5027297451737553</v>
      </c>
      <c r="G37">
        <f t="shared" si="21"/>
        <v>8.6446086352184874</v>
      </c>
      <c r="H37">
        <f t="shared" si="21"/>
        <v>5.0812692207453738</v>
      </c>
      <c r="I37">
        <f t="shared" si="21"/>
        <v>5.9357214837981065</v>
      </c>
      <c r="J37" s="1">
        <f t="shared" si="22"/>
        <v>6.5538664465873238</v>
      </c>
      <c r="K37" s="1">
        <f t="shared" si="23"/>
        <v>1.8603559718372837</v>
      </c>
      <c r="L37">
        <f t="shared" si="24"/>
        <v>6.5210225002171835</v>
      </c>
      <c r="M37">
        <f t="shared" si="24"/>
        <v>3.2864642515854401</v>
      </c>
      <c r="N37">
        <f t="shared" si="24"/>
        <v>4.1665615498219095</v>
      </c>
      <c r="O37" s="1">
        <f t="shared" si="25"/>
        <v>4.6580161005415119</v>
      </c>
      <c r="P37" s="1">
        <f t="shared" si="26"/>
        <v>1.6723448949051019</v>
      </c>
      <c r="Q37">
        <f t="shared" si="27"/>
        <v>5.4967848145252374</v>
      </c>
      <c r="R37">
        <f t="shared" si="27"/>
        <v>2.4130214577360789</v>
      </c>
      <c r="S37">
        <f t="shared" si="27"/>
        <v>3.181173659977413</v>
      </c>
      <c r="T37" s="1">
        <f t="shared" si="28"/>
        <v>3.6969933107462434</v>
      </c>
      <c r="U37" s="1">
        <f t="shared" si="29"/>
        <v>1.6052886171210281</v>
      </c>
      <c r="V37">
        <f t="shared" si="30"/>
        <v>4.6908600469116504</v>
      </c>
      <c r="W37">
        <f t="shared" si="30"/>
        <v>1.3926930761879941</v>
      </c>
      <c r="X37">
        <f t="shared" si="30"/>
        <v>1.9950039093041438</v>
      </c>
      <c r="Y37" s="1">
        <f t="shared" si="31"/>
        <v>2.6928523441345962</v>
      </c>
      <c r="Z37" s="1">
        <f t="shared" si="32"/>
        <v>1.7563372882762578</v>
      </c>
      <c r="AA37">
        <f t="shared" si="33"/>
        <v>4.1383103118755971</v>
      </c>
      <c r="AB37">
        <f t="shared" si="33"/>
        <v>1.2899218139171227</v>
      </c>
      <c r="AC37">
        <f t="shared" si="33"/>
        <v>1.8193284684215099</v>
      </c>
      <c r="AD37" s="1">
        <f t="shared" si="34"/>
        <v>2.4158535314047431</v>
      </c>
      <c r="AE37" s="1">
        <f t="shared" si="35"/>
        <v>1.5149953372538456</v>
      </c>
    </row>
    <row r="38" spans="1:31" x14ac:dyDescent="0.25">
      <c r="A38" t="s">
        <v>5</v>
      </c>
      <c r="B38">
        <f t="shared" si="18"/>
        <v>2.7334019633394147</v>
      </c>
      <c r="C38">
        <f t="shared" si="18"/>
        <v>0.27259925288854142</v>
      </c>
      <c r="D38">
        <f t="shared" si="18"/>
        <v>0.53325427851620189</v>
      </c>
      <c r="E38" s="1">
        <f t="shared" si="19"/>
        <v>1.179751831581386</v>
      </c>
      <c r="F38" s="1">
        <f t="shared" si="20"/>
        <v>1.3517976215136807</v>
      </c>
      <c r="G38">
        <f t="shared" si="21"/>
        <v>2.2290930414386239</v>
      </c>
      <c r="H38">
        <f t="shared" si="21"/>
        <v>0.12314221179741117</v>
      </c>
      <c r="I38">
        <f t="shared" si="21"/>
        <v>0.47553557466770918</v>
      </c>
      <c r="J38" s="1">
        <f t="shared" si="22"/>
        <v>0.94259027596791478</v>
      </c>
      <c r="K38" s="1">
        <f t="shared" si="23"/>
        <v>1.1279903788249239</v>
      </c>
      <c r="L38">
        <f t="shared" si="24"/>
        <v>1.1901389974806706</v>
      </c>
      <c r="M38">
        <f t="shared" si="24"/>
        <v>0.15942055425245419</v>
      </c>
      <c r="N38">
        <f t="shared" si="24"/>
        <v>0.4326027278255582</v>
      </c>
      <c r="O38" s="1">
        <f t="shared" si="25"/>
        <v>0.59405409318622771</v>
      </c>
      <c r="P38" s="1">
        <f t="shared" si="26"/>
        <v>0.53398973289316887</v>
      </c>
      <c r="Q38">
        <f t="shared" si="27"/>
        <v>0.65489444878811565</v>
      </c>
      <c r="R38">
        <f t="shared" si="27"/>
        <v>0.14586829988706457</v>
      </c>
      <c r="S38">
        <f t="shared" si="27"/>
        <v>0.44718008861089392</v>
      </c>
      <c r="T38" s="1">
        <f t="shared" si="28"/>
        <v>0.41598094576202471</v>
      </c>
      <c r="U38" s="1">
        <f t="shared" si="29"/>
        <v>0.25594324556849879</v>
      </c>
      <c r="V38">
        <f t="shared" si="30"/>
        <v>0.41752150117279124</v>
      </c>
      <c r="W38">
        <f t="shared" si="30"/>
        <v>0.13101294414038744</v>
      </c>
      <c r="X38">
        <f t="shared" si="30"/>
        <v>0.4533481018156546</v>
      </c>
      <c r="Y38" s="1">
        <f t="shared" si="31"/>
        <v>0.33396084904294443</v>
      </c>
      <c r="Z38" s="1">
        <f t="shared" si="32"/>
        <v>0.1766685467384016</v>
      </c>
      <c r="AA38">
        <f t="shared" si="33"/>
        <v>0.21656589349318045</v>
      </c>
      <c r="AB38">
        <f t="shared" si="33"/>
        <v>8.1668838502302138E-2</v>
      </c>
      <c r="AC38">
        <f t="shared" si="33"/>
        <v>0.39488228650855706</v>
      </c>
      <c r="AD38" s="1">
        <f t="shared" si="34"/>
        <v>0.23103900616801321</v>
      </c>
      <c r="AE38" s="1">
        <f t="shared" si="35"/>
        <v>0.1571075085597933</v>
      </c>
    </row>
    <row r="41" spans="1:31" x14ac:dyDescent="0.25">
      <c r="A41" s="1" t="s">
        <v>21</v>
      </c>
    </row>
    <row r="42" spans="1:31" x14ac:dyDescent="0.25">
      <c r="B42" s="8" t="s">
        <v>11</v>
      </c>
      <c r="C42" s="8"/>
      <c r="D42" s="8"/>
      <c r="E42" s="8"/>
      <c r="F42" s="8"/>
      <c r="G42" s="8" t="s">
        <v>12</v>
      </c>
      <c r="H42" s="8"/>
      <c r="I42" s="8"/>
      <c r="J42" s="8"/>
      <c r="K42" s="8"/>
      <c r="L42" s="8" t="s">
        <v>13</v>
      </c>
      <c r="M42" s="8"/>
      <c r="N42" s="8"/>
      <c r="O42" s="8"/>
      <c r="P42" s="8"/>
      <c r="Q42" s="8" t="s">
        <v>14</v>
      </c>
      <c r="R42" s="8"/>
      <c r="S42" s="8"/>
      <c r="T42" s="8"/>
      <c r="U42" s="8"/>
      <c r="V42" s="8" t="s">
        <v>15</v>
      </c>
      <c r="W42" s="8"/>
      <c r="X42" s="8"/>
      <c r="Y42" s="8"/>
      <c r="Z42" s="8"/>
      <c r="AA42" s="8" t="s">
        <v>16</v>
      </c>
      <c r="AB42" s="8"/>
      <c r="AC42" s="8"/>
      <c r="AD42" s="8"/>
      <c r="AE42" s="8"/>
    </row>
    <row r="43" spans="1:31" x14ac:dyDescent="0.25">
      <c r="A43" t="s">
        <v>0</v>
      </c>
      <c r="B43" t="s">
        <v>6</v>
      </c>
      <c r="C43" t="s">
        <v>7</v>
      </c>
      <c r="D43" t="s">
        <v>8</v>
      </c>
      <c r="E43" s="1" t="s">
        <v>9</v>
      </c>
      <c r="F43" s="1" t="s">
        <v>10</v>
      </c>
      <c r="G43" t="s">
        <v>6</v>
      </c>
      <c r="H43" t="s">
        <v>7</v>
      </c>
      <c r="I43" t="s">
        <v>8</v>
      </c>
      <c r="J43" s="1" t="s">
        <v>9</v>
      </c>
      <c r="K43" s="1" t="s">
        <v>10</v>
      </c>
      <c r="L43" t="s">
        <v>6</v>
      </c>
      <c r="M43" t="s">
        <v>7</v>
      </c>
      <c r="N43" t="s">
        <v>8</v>
      </c>
      <c r="O43" s="1" t="s">
        <v>9</v>
      </c>
      <c r="P43" s="1" t="s">
        <v>10</v>
      </c>
      <c r="Q43" t="s">
        <v>6</v>
      </c>
      <c r="R43" t="s">
        <v>7</v>
      </c>
      <c r="S43" t="s">
        <v>8</v>
      </c>
      <c r="T43" s="1" t="s">
        <v>9</v>
      </c>
      <c r="U43" s="1" t="s">
        <v>10</v>
      </c>
      <c r="V43" t="s">
        <v>6</v>
      </c>
      <c r="W43" t="s">
        <v>7</v>
      </c>
      <c r="X43" t="s">
        <v>8</v>
      </c>
      <c r="Y43" s="1" t="s">
        <v>9</v>
      </c>
      <c r="Z43" s="1" t="s">
        <v>10</v>
      </c>
      <c r="AA43" t="s">
        <v>6</v>
      </c>
      <c r="AB43" t="s">
        <v>7</v>
      </c>
      <c r="AC43" t="s">
        <v>8</v>
      </c>
      <c r="AD43" s="1" t="s">
        <v>9</v>
      </c>
      <c r="AE43" s="1" t="s">
        <v>10</v>
      </c>
    </row>
    <row r="44" spans="1:31" x14ac:dyDescent="0.25">
      <c r="A44" t="s">
        <v>1</v>
      </c>
      <c r="B44">
        <f>B24/225184</f>
        <v>0.21735114395338923</v>
      </c>
      <c r="C44">
        <f t="shared" ref="C44:D44" si="36">C24/225184</f>
        <v>0</v>
      </c>
      <c r="D44">
        <f t="shared" si="36"/>
        <v>0.35752096063663491</v>
      </c>
      <c r="E44" s="1">
        <f>AVERAGE(B44:D44)</f>
        <v>0.19162403486334137</v>
      </c>
      <c r="F44" s="1">
        <f>STDEV(B44:D44)</f>
        <v>0.18014361612400809</v>
      </c>
      <c r="G44">
        <f>G24/225184</f>
        <v>0.23719269575103027</v>
      </c>
      <c r="H44">
        <f t="shared" ref="H44:I44" si="37">H24/225184</f>
        <v>3.4798209464260335E-2</v>
      </c>
      <c r="I44">
        <f t="shared" si="37"/>
        <v>0.7043662071905642</v>
      </c>
      <c r="J44" s="1">
        <f>AVERAGE(G44:I44)</f>
        <v>0.32545237080195161</v>
      </c>
      <c r="K44" s="1">
        <f>STDEV(G44:I44)</f>
        <v>0.34339868021713998</v>
      </c>
      <c r="L44">
        <f>L24/225184</f>
        <v>0.10613542702856331</v>
      </c>
      <c r="M44">
        <f t="shared" ref="M44:N44" si="38">M24/225184</f>
        <v>6.4409549523944856E-2</v>
      </c>
      <c r="N44">
        <f t="shared" si="38"/>
        <v>0.76685732556487141</v>
      </c>
      <c r="O44" s="1">
        <f>AVERAGE(L44:N44)</f>
        <v>0.31246743403912652</v>
      </c>
      <c r="P44" s="1">
        <f>STDEV(L44:N44)</f>
        <v>0.3940658477386314</v>
      </c>
      <c r="Q44">
        <f>Q24/225184</f>
        <v>0.11636705982663066</v>
      </c>
      <c r="R44">
        <f t="shared" ref="R44:S44" si="39">R24/225184</f>
        <v>6.5990478897257357E-2</v>
      </c>
      <c r="S44">
        <f t="shared" si="39"/>
        <v>0.70237672303538434</v>
      </c>
      <c r="T44" s="1">
        <f>AVERAGE(Q44:S44)</f>
        <v>0.29491142058642411</v>
      </c>
      <c r="U44" s="1">
        <f>STDEV(Q44:S44)</f>
        <v>0.3537731328145205</v>
      </c>
      <c r="V44">
        <f>V24/225184</f>
        <v>0.23310714793235754</v>
      </c>
      <c r="W44">
        <f t="shared" ref="W44:X44" si="40">W24/225184</f>
        <v>0.13032897541566008</v>
      </c>
      <c r="X44">
        <f t="shared" si="40"/>
        <v>0.67264104021600113</v>
      </c>
      <c r="Y44" s="1">
        <f>AVERAGE(V44:X44)</f>
        <v>0.34535905452133958</v>
      </c>
      <c r="Z44" s="1">
        <f>STDEV(V44:X44)</f>
        <v>0.28805548390309893</v>
      </c>
      <c r="AA44">
        <f>AA24/225184</f>
        <v>0.22966107716356401</v>
      </c>
      <c r="AB44">
        <f t="shared" ref="AB44:AC44" si="41">AB24/225184</f>
        <v>0.130027000142106</v>
      </c>
      <c r="AC44">
        <f t="shared" si="41"/>
        <v>0.66041992326275401</v>
      </c>
      <c r="AD44" s="1">
        <f>AVERAGE(AA44:AC44)</f>
        <v>0.34003600018947466</v>
      </c>
      <c r="AE44" s="1">
        <f>STDEV(AA44:AC44)</f>
        <v>0.28189737662640313</v>
      </c>
    </row>
    <row r="45" spans="1:31" x14ac:dyDescent="0.25">
      <c r="A45" t="s">
        <v>2</v>
      </c>
      <c r="B45">
        <f t="shared" ref="B45:D48" si="42">B25/225184</f>
        <v>5.9362832172800912</v>
      </c>
      <c r="C45">
        <f t="shared" si="42"/>
        <v>6.440510871109848</v>
      </c>
      <c r="D45">
        <f t="shared" si="42"/>
        <v>7.4156423191701011</v>
      </c>
      <c r="E45" s="1">
        <f t="shared" ref="E45:E48" si="43">AVERAGE(B45:D45)</f>
        <v>6.5974788025200128</v>
      </c>
      <c r="F45" s="1">
        <f t="shared" ref="F45:F48" si="44">STDEV(B45:D45)</f>
        <v>0.75206717565959091</v>
      </c>
      <c r="G45">
        <f t="shared" ref="G45:I48" si="45">G25/225184</f>
        <v>6.0578549097626828</v>
      </c>
      <c r="H45">
        <f t="shared" si="45"/>
        <v>6.0455272133011224</v>
      </c>
      <c r="I45">
        <f t="shared" si="45"/>
        <v>7.9098514992184166</v>
      </c>
      <c r="J45" s="1">
        <f t="shared" ref="J45:J48" si="46">AVERAGE(G45:I45)</f>
        <v>6.6710778740940739</v>
      </c>
      <c r="K45" s="1">
        <f t="shared" ref="K45:K48" si="47">STDEV(G45:I45)</f>
        <v>1.0728271360069066</v>
      </c>
      <c r="L45">
        <f t="shared" ref="L45:N48" si="48">L25/225184</f>
        <v>5.6914878499360526</v>
      </c>
      <c r="M45">
        <f t="shared" si="48"/>
        <v>5.7695751030268578</v>
      </c>
      <c r="N45">
        <f t="shared" si="48"/>
        <v>7.4245594713656384</v>
      </c>
      <c r="O45" s="1">
        <f t="shared" ref="O45:O48" si="49">AVERAGE(L45:N45)</f>
        <v>6.2952074747761833</v>
      </c>
      <c r="P45" s="1">
        <f t="shared" ref="P45:P48" si="50">STDEV(L45:N45)</f>
        <v>0.9788265188092572</v>
      </c>
      <c r="Q45">
        <f t="shared" ref="Q45:S48" si="51">Q25/225184</f>
        <v>5.3312846383402022</v>
      </c>
      <c r="R45">
        <f t="shared" si="51"/>
        <v>5.1209322154327124</v>
      </c>
      <c r="S45">
        <f t="shared" si="51"/>
        <v>6.665056131874378</v>
      </c>
      <c r="T45" s="1">
        <f t="shared" ref="T45:T48" si="52">AVERAGE(Q45:S45)</f>
        <v>5.7057576618824299</v>
      </c>
      <c r="U45" s="1">
        <f t="shared" ref="U45:U48" si="53">STDEV(Q45:S45)</f>
        <v>0.83740802560785077</v>
      </c>
      <c r="V45">
        <f t="shared" ref="V45:X48" si="54">V25/225184</f>
        <v>4.2853133437544404</v>
      </c>
      <c r="W45">
        <f t="shared" si="54"/>
        <v>4.2443157595566294</v>
      </c>
      <c r="X45">
        <f t="shared" si="54"/>
        <v>5.6062775330396475</v>
      </c>
      <c r="Y45" s="1">
        <f t="shared" ref="Y45:Y48" si="55">AVERAGE(V45:X45)</f>
        <v>4.7119688787835727</v>
      </c>
      <c r="Z45" s="1">
        <f t="shared" ref="Z45:Z48" si="56">STDEV(V45:X45)</f>
        <v>0.7747652401118007</v>
      </c>
      <c r="AA45">
        <f t="shared" ref="AA45:AC48" si="57">AA25/225184</f>
        <v>4.1024761972431429</v>
      </c>
      <c r="AB45">
        <f t="shared" si="57"/>
        <v>4.278332385959926</v>
      </c>
      <c r="AC45">
        <f t="shared" si="57"/>
        <v>5.3783927810146368</v>
      </c>
      <c r="AD45" s="1">
        <f t="shared" ref="AD45:AD48" si="58">AVERAGE(AA45:AC45)</f>
        <v>4.586400454739235</v>
      </c>
      <c r="AE45" s="1">
        <f t="shared" ref="AE45:AE48" si="59">STDEV(AA45:AC45)</f>
        <v>0.691498541890609</v>
      </c>
    </row>
    <row r="46" spans="1:31" x14ac:dyDescent="0.25">
      <c r="A46" t="s">
        <v>3</v>
      </c>
      <c r="B46">
        <f t="shared" si="42"/>
        <v>11.395969518260623</v>
      </c>
      <c r="C46">
        <f t="shared" si="42"/>
        <v>14.332332670171949</v>
      </c>
      <c r="D46">
        <f t="shared" si="42"/>
        <v>15.898678414096917</v>
      </c>
      <c r="E46" s="1">
        <f t="shared" si="43"/>
        <v>13.875660200843162</v>
      </c>
      <c r="F46" s="1">
        <f t="shared" si="44"/>
        <v>2.2858278934213372</v>
      </c>
      <c r="G46">
        <f t="shared" si="45"/>
        <v>12.622655250817109</v>
      </c>
      <c r="H46">
        <f t="shared" si="45"/>
        <v>13.857059116100611</v>
      </c>
      <c r="I46">
        <f t="shared" si="45"/>
        <v>14.118907204774763</v>
      </c>
      <c r="J46" s="1">
        <f t="shared" si="46"/>
        <v>13.532873857230827</v>
      </c>
      <c r="K46" s="1">
        <f t="shared" si="47"/>
        <v>0.79907104751822622</v>
      </c>
      <c r="L46">
        <f t="shared" si="48"/>
        <v>11.114324285917295</v>
      </c>
      <c r="M46">
        <f t="shared" si="48"/>
        <v>12.948699729998578</v>
      </c>
      <c r="N46">
        <f t="shared" si="48"/>
        <v>13.865159158732414</v>
      </c>
      <c r="O46" s="1">
        <f t="shared" si="49"/>
        <v>12.642727724882761</v>
      </c>
      <c r="P46" s="1">
        <f t="shared" si="50"/>
        <v>1.4007095613687686</v>
      </c>
      <c r="Q46">
        <f t="shared" si="51"/>
        <v>11.680527923831178</v>
      </c>
      <c r="R46">
        <f t="shared" si="51"/>
        <v>11.983551229216996</v>
      </c>
      <c r="S46">
        <f t="shared" si="51"/>
        <v>13.502771067216143</v>
      </c>
      <c r="T46" s="1">
        <f t="shared" si="52"/>
        <v>12.388950073421439</v>
      </c>
      <c r="U46" s="1">
        <f t="shared" si="53"/>
        <v>0.97642392717769011</v>
      </c>
      <c r="V46">
        <f t="shared" si="54"/>
        <v>9.7320058263464553</v>
      </c>
      <c r="W46">
        <f t="shared" si="54"/>
        <v>10.409869262469803</v>
      </c>
      <c r="X46">
        <f t="shared" si="54"/>
        <v>11.467404433707546</v>
      </c>
      <c r="Y46" s="1">
        <f t="shared" si="55"/>
        <v>10.536426507507935</v>
      </c>
      <c r="Z46" s="1">
        <f t="shared" si="56"/>
        <v>0.8745939822634472</v>
      </c>
      <c r="AA46">
        <f t="shared" si="57"/>
        <v>9.2801797641040213</v>
      </c>
      <c r="AB46">
        <f t="shared" si="57"/>
        <v>10.388411254796077</v>
      </c>
      <c r="AC46">
        <f t="shared" si="57"/>
        <v>10.998561176637772</v>
      </c>
      <c r="AD46" s="1">
        <f t="shared" si="58"/>
        <v>10.222384065179289</v>
      </c>
      <c r="AE46" s="1">
        <f t="shared" si="59"/>
        <v>0.87113858857497994</v>
      </c>
    </row>
    <row r="47" spans="1:31" x14ac:dyDescent="0.25">
      <c r="A47" t="s">
        <v>4</v>
      </c>
      <c r="B47">
        <f t="shared" si="42"/>
        <v>20.541770285633081</v>
      </c>
      <c r="C47">
        <f t="shared" si="42"/>
        <v>23.102067642461275</v>
      </c>
      <c r="D47">
        <f t="shared" si="42"/>
        <v>24.023536308085831</v>
      </c>
      <c r="E47" s="1">
        <f t="shared" si="43"/>
        <v>22.555791412060064</v>
      </c>
      <c r="F47" s="1">
        <f t="shared" si="44"/>
        <v>1.8040196641673918</v>
      </c>
      <c r="G47">
        <f t="shared" si="45"/>
        <v>20.288244280233055</v>
      </c>
      <c r="H47">
        <f t="shared" si="45"/>
        <v>22.319205627398038</v>
      </c>
      <c r="I47">
        <f t="shared" si="45"/>
        <v>21.630115816399034</v>
      </c>
      <c r="J47" s="1">
        <f t="shared" si="46"/>
        <v>21.412521908010046</v>
      </c>
      <c r="K47" s="1">
        <f t="shared" si="47"/>
        <v>1.0328171813760398</v>
      </c>
      <c r="L47">
        <f t="shared" si="48"/>
        <v>19.69321088532045</v>
      </c>
      <c r="M47">
        <f t="shared" si="48"/>
        <v>20.59450049737104</v>
      </c>
      <c r="N47">
        <f t="shared" si="48"/>
        <v>21.075742503907914</v>
      </c>
      <c r="O47" s="1">
        <f t="shared" si="49"/>
        <v>20.454484628866467</v>
      </c>
      <c r="P47" s="1">
        <f t="shared" si="50"/>
        <v>0.70182031295292069</v>
      </c>
      <c r="Q47">
        <f t="shared" si="51"/>
        <v>18.230815688503625</v>
      </c>
      <c r="R47">
        <f t="shared" si="51"/>
        <v>18.964633366491402</v>
      </c>
      <c r="S47">
        <f t="shared" si="51"/>
        <v>19.210014921131165</v>
      </c>
      <c r="T47" s="1">
        <f t="shared" si="52"/>
        <v>18.801821325375396</v>
      </c>
      <c r="U47" s="1">
        <f t="shared" si="53"/>
        <v>0.50949838551644133</v>
      </c>
      <c r="V47">
        <f t="shared" si="54"/>
        <v>15.052028563308228</v>
      </c>
      <c r="W47">
        <f t="shared" si="54"/>
        <v>16.995168395623136</v>
      </c>
      <c r="X47">
        <f t="shared" si="54"/>
        <v>17.252575671450902</v>
      </c>
      <c r="Y47" s="1">
        <f t="shared" si="55"/>
        <v>16.433257543460755</v>
      </c>
      <c r="Z47" s="1">
        <f t="shared" si="56"/>
        <v>1.2030834335665004</v>
      </c>
      <c r="AA47">
        <f t="shared" si="57"/>
        <v>16.553502913173226</v>
      </c>
      <c r="AB47">
        <f t="shared" si="57"/>
        <v>16.970157737672302</v>
      </c>
      <c r="AC47">
        <f t="shared" si="57"/>
        <v>16.994173653545545</v>
      </c>
      <c r="AD47" s="1">
        <f t="shared" si="58"/>
        <v>16.839278101463691</v>
      </c>
      <c r="AE47" s="1">
        <f t="shared" si="59"/>
        <v>0.24777971009678285</v>
      </c>
    </row>
    <row r="48" spans="1:31" x14ac:dyDescent="0.25">
      <c r="A48" t="s">
        <v>5</v>
      </c>
      <c r="B48">
        <f t="shared" si="42"/>
        <v>27.846543271280375</v>
      </c>
      <c r="C48">
        <f t="shared" si="42"/>
        <v>32.015649424470652</v>
      </c>
      <c r="D48">
        <f t="shared" si="42"/>
        <v>28.768047463407701</v>
      </c>
      <c r="E48" s="1">
        <f t="shared" si="43"/>
        <v>29.543413386386245</v>
      </c>
      <c r="F48" s="1">
        <f t="shared" si="44"/>
        <v>2.1900355625033883</v>
      </c>
      <c r="G48">
        <f t="shared" si="45"/>
        <v>28.175483160437686</v>
      </c>
      <c r="H48">
        <f t="shared" si="45"/>
        <v>29.326648429728579</v>
      </c>
      <c r="I48">
        <f t="shared" si="45"/>
        <v>29.486091374165127</v>
      </c>
      <c r="J48" s="1">
        <f t="shared" si="46"/>
        <v>28.996074321443796</v>
      </c>
      <c r="K48" s="1">
        <f t="shared" si="47"/>
        <v>0.71511041334444803</v>
      </c>
      <c r="L48">
        <f t="shared" si="48"/>
        <v>27.660419923262754</v>
      </c>
      <c r="M48">
        <f t="shared" si="48"/>
        <v>26.915695608924256</v>
      </c>
      <c r="N48">
        <f t="shared" si="48"/>
        <v>26.261226374875658</v>
      </c>
      <c r="O48" s="1">
        <f t="shared" si="49"/>
        <v>26.945780635687555</v>
      </c>
      <c r="P48" s="1">
        <f t="shared" si="50"/>
        <v>0.70008176528783383</v>
      </c>
      <c r="Q48">
        <f t="shared" si="51"/>
        <v>25.115585476765666</v>
      </c>
      <c r="R48">
        <f t="shared" si="51"/>
        <v>24.425039079153049</v>
      </c>
      <c r="S48">
        <f t="shared" si="51"/>
        <v>24.034691629955947</v>
      </c>
      <c r="T48" s="1">
        <f t="shared" si="52"/>
        <v>24.525105395291551</v>
      </c>
      <c r="U48" s="1">
        <f t="shared" si="53"/>
        <v>0.54735073557722247</v>
      </c>
      <c r="V48">
        <f t="shared" si="54"/>
        <v>22.390684950973426</v>
      </c>
      <c r="W48">
        <f t="shared" si="54"/>
        <v>21.514690208895836</v>
      </c>
      <c r="X48">
        <f t="shared" si="54"/>
        <v>20.320324712235326</v>
      </c>
      <c r="Y48" s="1">
        <f t="shared" si="55"/>
        <v>21.408566624034865</v>
      </c>
      <c r="Z48" s="1">
        <f t="shared" si="56"/>
        <v>1.0392519141116503</v>
      </c>
      <c r="AA48">
        <f t="shared" si="57"/>
        <v>22.112849936052296</v>
      </c>
      <c r="AB48">
        <f t="shared" si="57"/>
        <v>21.124467102458436</v>
      </c>
      <c r="AC48">
        <f t="shared" si="57"/>
        <v>20.985469660366633</v>
      </c>
      <c r="AD48" s="1">
        <f t="shared" si="58"/>
        <v>21.407595566292457</v>
      </c>
      <c r="AE48" s="1">
        <f t="shared" si="59"/>
        <v>0.61470957921284186</v>
      </c>
    </row>
  </sheetData>
  <mergeCells count="30">
    <mergeCell ref="AA2:AE2"/>
    <mergeCell ref="B2:F2"/>
    <mergeCell ref="G2:K2"/>
    <mergeCell ref="L2:P2"/>
    <mergeCell ref="Q2:U2"/>
    <mergeCell ref="V2:Z2"/>
    <mergeCell ref="AA22:AE22"/>
    <mergeCell ref="B12:F12"/>
    <mergeCell ref="G12:K12"/>
    <mergeCell ref="L12:P12"/>
    <mergeCell ref="Q12:U12"/>
    <mergeCell ref="V12:Z12"/>
    <mergeCell ref="AA12:AE12"/>
    <mergeCell ref="B22:F22"/>
    <mergeCell ref="G22:K22"/>
    <mergeCell ref="L22:P22"/>
    <mergeCell ref="Q22:U22"/>
    <mergeCell ref="V22:Z22"/>
    <mergeCell ref="AA42:AE42"/>
    <mergeCell ref="B32:F32"/>
    <mergeCell ref="G32:K32"/>
    <mergeCell ref="L32:P32"/>
    <mergeCell ref="Q32:U32"/>
    <mergeCell ref="V32:Z32"/>
    <mergeCell ref="AA32:AE32"/>
    <mergeCell ref="B42:F42"/>
    <mergeCell ref="G42:K42"/>
    <mergeCell ref="L42:P42"/>
    <mergeCell ref="Q42:U42"/>
    <mergeCell ref="V42:Z4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="70" zoomScaleNormal="70" workbookViewId="0">
      <selection activeCell="A3" sqref="A3:C56"/>
    </sheetView>
  </sheetViews>
  <sheetFormatPr defaultRowHeight="15" x14ac:dyDescent="0.25"/>
  <cols>
    <col min="1" max="1" width="16.28515625" bestFit="1" customWidth="1"/>
    <col min="2" max="2" width="11.7109375" bestFit="1" customWidth="1"/>
    <col min="4" max="4" width="20.5703125" bestFit="1" customWidth="1"/>
    <col min="6" max="6" width="19" bestFit="1" customWidth="1"/>
  </cols>
  <sheetData>
    <row r="1" spans="1:11" ht="21" x14ac:dyDescent="0.35">
      <c r="A1" s="3" t="s">
        <v>36</v>
      </c>
    </row>
    <row r="3" spans="1:11" ht="15.75" x14ac:dyDescent="0.25">
      <c r="A3" s="4" t="s">
        <v>1</v>
      </c>
      <c r="B3" s="2"/>
      <c r="C3" s="2"/>
      <c r="D3" s="2"/>
      <c r="E3" s="2"/>
      <c r="F3" s="2"/>
      <c r="G3" s="2"/>
    </row>
    <row r="4" spans="1:11" x14ac:dyDescent="0.25">
      <c r="A4" s="2" t="s">
        <v>24</v>
      </c>
      <c r="B4" s="2" t="s">
        <v>25</v>
      </c>
      <c r="C4" s="2" t="s">
        <v>26</v>
      </c>
      <c r="D4" s="2" t="s">
        <v>27</v>
      </c>
      <c r="E4" s="2" t="s">
        <v>28</v>
      </c>
      <c r="F4" s="2" t="s">
        <v>29</v>
      </c>
      <c r="G4" s="2" t="s">
        <v>30</v>
      </c>
      <c r="H4" s="1"/>
      <c r="I4" s="1"/>
      <c r="J4" s="1"/>
      <c r="K4" s="1"/>
    </row>
    <row r="5" spans="1:11" x14ac:dyDescent="0.25">
      <c r="A5" s="2">
        <v>0</v>
      </c>
      <c r="B5" s="2">
        <v>5.4333333333333338E-2</v>
      </c>
      <c r="C5" s="2">
        <v>1.2503332889007355E-2</v>
      </c>
      <c r="D5" s="2">
        <v>29.491387079025859</v>
      </c>
      <c r="E5" s="2">
        <v>2.8270159328151525</v>
      </c>
      <c r="F5" s="2">
        <v>0.19162403486334137</v>
      </c>
      <c r="G5" s="2">
        <v>0.18014361612400809</v>
      </c>
      <c r="H5" s="1"/>
      <c r="I5" s="1"/>
      <c r="J5" s="1"/>
      <c r="K5" s="1"/>
    </row>
    <row r="6" spans="1:11" x14ac:dyDescent="0.25">
      <c r="A6" s="2">
        <v>23</v>
      </c>
      <c r="B6" s="2">
        <v>1.79</v>
      </c>
      <c r="C6" s="2">
        <v>2.200000000000002E-2</v>
      </c>
      <c r="D6" s="2">
        <v>26.643479280688037</v>
      </c>
      <c r="E6" s="2">
        <v>3.0994344799960074</v>
      </c>
      <c r="F6" s="2">
        <v>0.32545237080195161</v>
      </c>
      <c r="G6" s="2">
        <v>0.34339868021713998</v>
      </c>
      <c r="H6" s="1"/>
      <c r="I6" s="1"/>
      <c r="J6" s="1"/>
      <c r="K6" s="1"/>
    </row>
    <row r="7" spans="1:11" x14ac:dyDescent="0.25">
      <c r="A7" s="2">
        <v>46</v>
      </c>
      <c r="B7" s="2">
        <v>9.5066666666666659</v>
      </c>
      <c r="C7" s="2">
        <v>7.0237691685685194E-2</v>
      </c>
      <c r="D7" s="2">
        <v>21.850139576636838</v>
      </c>
      <c r="E7" s="2">
        <v>3.0617715113980228</v>
      </c>
      <c r="F7" s="2">
        <v>0.31246743403912652</v>
      </c>
      <c r="G7" s="2">
        <v>0.3940658477386314</v>
      </c>
      <c r="H7" s="1"/>
      <c r="I7" s="1"/>
      <c r="J7" s="1"/>
      <c r="K7" s="1"/>
    </row>
    <row r="8" spans="1:11" x14ac:dyDescent="0.25">
      <c r="A8" s="2">
        <v>67</v>
      </c>
      <c r="B8" s="2">
        <v>11.766666666666666</v>
      </c>
      <c r="C8" s="2">
        <v>0.35004761580866839</v>
      </c>
      <c r="D8" s="2">
        <v>18.23848116294559</v>
      </c>
      <c r="E8" s="2">
        <v>3.8194138691569024</v>
      </c>
      <c r="F8" s="2">
        <v>0.29491142058642411</v>
      </c>
      <c r="G8" s="2">
        <v>0.3537731328145205</v>
      </c>
      <c r="H8" s="1"/>
      <c r="I8" s="1"/>
      <c r="J8" s="1"/>
      <c r="K8" s="1"/>
    </row>
    <row r="9" spans="1:11" x14ac:dyDescent="0.25">
      <c r="A9" s="2">
        <v>112</v>
      </c>
      <c r="B9" s="2">
        <v>14.680000000000001</v>
      </c>
      <c r="C9" s="2">
        <v>2.7197794028192694</v>
      </c>
      <c r="D9" s="2">
        <v>14.38679726638288</v>
      </c>
      <c r="E9" s="2">
        <v>2.6949260493460225</v>
      </c>
      <c r="F9" s="2">
        <v>0.34535905452133958</v>
      </c>
      <c r="G9" s="2">
        <v>0.28805548390309893</v>
      </c>
      <c r="H9" s="1"/>
      <c r="I9" s="1"/>
      <c r="J9" s="1"/>
      <c r="K9" s="1"/>
    </row>
    <row r="10" spans="1:11" x14ac:dyDescent="0.25">
      <c r="A10" s="2">
        <v>120</v>
      </c>
      <c r="B10" s="2">
        <v>14.353333333333333</v>
      </c>
      <c r="C10" s="2">
        <v>3.0392323592205575</v>
      </c>
      <c r="D10" s="2">
        <v>13.819299510613035</v>
      </c>
      <c r="E10" s="2">
        <v>2.3694397286260198</v>
      </c>
      <c r="F10" s="2">
        <v>0.34003600018947466</v>
      </c>
      <c r="G10" s="2">
        <v>0.28189737662640313</v>
      </c>
      <c r="H10" s="1"/>
      <c r="I10" s="1"/>
      <c r="J10" s="1"/>
      <c r="K10" s="1"/>
    </row>
    <row r="11" spans="1:11" x14ac:dyDescent="0.25">
      <c r="D11" s="1"/>
      <c r="E11" s="1"/>
      <c r="F11" s="1"/>
      <c r="G11" s="1"/>
      <c r="H11" s="1"/>
      <c r="I11" s="1"/>
      <c r="J11" s="1"/>
      <c r="K11" s="1"/>
    </row>
    <row r="12" spans="1:11" x14ac:dyDescent="0.25">
      <c r="D12" s="1"/>
      <c r="E12" s="1"/>
      <c r="F12" s="1"/>
      <c r="G12" s="1"/>
      <c r="H12" s="1"/>
      <c r="I12" s="1"/>
      <c r="J12" s="1"/>
      <c r="K12" s="1"/>
    </row>
    <row r="13" spans="1:11" ht="15.75" x14ac:dyDescent="0.25">
      <c r="A13" s="4" t="s">
        <v>31</v>
      </c>
      <c r="B13" s="2"/>
      <c r="C13" s="2"/>
      <c r="D13" s="2"/>
      <c r="E13" s="2"/>
      <c r="F13" s="2"/>
      <c r="G13" s="2"/>
      <c r="H13" s="1"/>
      <c r="I13" s="1"/>
      <c r="J13" s="1"/>
      <c r="K13" s="1"/>
    </row>
    <row r="14" spans="1:11" x14ac:dyDescent="0.25">
      <c r="A14" s="2" t="s">
        <v>24</v>
      </c>
      <c r="B14" s="2" t="s">
        <v>25</v>
      </c>
      <c r="C14" s="2" t="s">
        <v>26</v>
      </c>
      <c r="D14" s="2" t="s">
        <v>27</v>
      </c>
      <c r="E14" s="2" t="s">
        <v>28</v>
      </c>
      <c r="F14" s="2" t="s">
        <v>29</v>
      </c>
      <c r="G14" s="2" t="s">
        <v>30</v>
      </c>
    </row>
    <row r="15" spans="1:11" x14ac:dyDescent="0.25">
      <c r="A15" s="2">
        <v>0</v>
      </c>
      <c r="B15" s="2">
        <v>6.7666666666666667E-2</v>
      </c>
      <c r="C15" s="2">
        <v>1.5947831618540877E-2</v>
      </c>
      <c r="D15" s="2">
        <v>21.768200561781484</v>
      </c>
      <c r="E15" s="2">
        <v>2.2635298320381607</v>
      </c>
      <c r="F15" s="2">
        <v>6.5974788025200128</v>
      </c>
      <c r="G15" s="2">
        <v>0.75206717565959091</v>
      </c>
    </row>
    <row r="16" spans="1:11" x14ac:dyDescent="0.25">
      <c r="A16" s="2">
        <v>23</v>
      </c>
      <c r="B16" s="2">
        <v>1.6953333333333334</v>
      </c>
      <c r="C16" s="2">
        <v>4.2394968254892425E-2</v>
      </c>
      <c r="D16" s="2">
        <v>20.321642197318507</v>
      </c>
      <c r="E16" s="2">
        <v>2.3464598212072412</v>
      </c>
      <c r="F16" s="2">
        <v>6.6710778740940739</v>
      </c>
      <c r="G16" s="2">
        <v>1.0728271360069066</v>
      </c>
    </row>
    <row r="17" spans="1:7" x14ac:dyDescent="0.25">
      <c r="A17" s="2">
        <v>46</v>
      </c>
      <c r="B17" s="2">
        <v>8.6300000000000008</v>
      </c>
      <c r="C17" s="2">
        <v>0.49869830559166739</v>
      </c>
      <c r="D17" s="2">
        <v>17.23420119885327</v>
      </c>
      <c r="E17" s="2">
        <v>1.7579385694803957</v>
      </c>
      <c r="F17" s="2">
        <v>6.2952074747761833</v>
      </c>
      <c r="G17" s="2">
        <v>0.9788265188092572</v>
      </c>
    </row>
    <row r="18" spans="1:7" x14ac:dyDescent="0.25">
      <c r="A18" s="2">
        <v>67</v>
      </c>
      <c r="B18" s="2">
        <v>10.293333333333335</v>
      </c>
      <c r="C18" s="2">
        <v>0.91358269102108836</v>
      </c>
      <c r="D18" s="2">
        <v>15.356710103379376</v>
      </c>
      <c r="E18" s="2">
        <v>2.0832986103312865</v>
      </c>
      <c r="F18" s="2">
        <v>5.7057576618824299</v>
      </c>
      <c r="G18" s="2">
        <v>0.83740802560785077</v>
      </c>
    </row>
    <row r="19" spans="1:7" x14ac:dyDescent="0.25">
      <c r="A19" s="2">
        <v>112</v>
      </c>
      <c r="B19" s="2">
        <v>12.833333333333334</v>
      </c>
      <c r="C19" s="2">
        <v>3.2277752916418034</v>
      </c>
      <c r="D19" s="2">
        <v>12.544316161352908</v>
      </c>
      <c r="E19" s="2">
        <v>1.7068277411640407</v>
      </c>
      <c r="F19" s="2">
        <v>4.7119688787835727</v>
      </c>
      <c r="G19" s="2">
        <v>0.7747652401118007</v>
      </c>
    </row>
    <row r="20" spans="1:7" x14ac:dyDescent="0.25">
      <c r="A20" s="2">
        <v>120</v>
      </c>
      <c r="B20" s="2">
        <v>12.839999999999998</v>
      </c>
      <c r="C20" s="2">
        <v>3.230541750233245</v>
      </c>
      <c r="D20" s="2">
        <v>12.246502475892621</v>
      </c>
      <c r="E20" s="2">
        <v>1.3740937408219627</v>
      </c>
      <c r="F20" s="2">
        <v>4.586400454739235</v>
      </c>
      <c r="G20" s="2">
        <v>0.691498541890609</v>
      </c>
    </row>
    <row r="22" spans="1:7" ht="15.75" x14ac:dyDescent="0.25">
      <c r="A22" s="4"/>
      <c r="B22" s="2"/>
      <c r="C22" s="2"/>
      <c r="D22" s="2"/>
      <c r="E22" s="2"/>
      <c r="F22" s="2"/>
      <c r="G22" s="2"/>
    </row>
    <row r="23" spans="1:7" x14ac:dyDescent="0.25">
      <c r="A23" s="2"/>
      <c r="B23" s="2"/>
      <c r="C23" s="2"/>
      <c r="D23" s="2"/>
      <c r="E23" s="2"/>
      <c r="F23" s="2"/>
      <c r="G23" s="2"/>
    </row>
    <row r="24" spans="1:7" x14ac:dyDescent="0.25">
      <c r="A24" s="2"/>
      <c r="B24" s="2"/>
      <c r="C24" s="2"/>
      <c r="D24" s="2"/>
      <c r="E24" s="2"/>
      <c r="F24" s="2"/>
      <c r="G24" s="2"/>
    </row>
    <row r="25" spans="1:7" x14ac:dyDescent="0.25">
      <c r="A25" s="2"/>
      <c r="B25" s="2"/>
      <c r="C25" s="2"/>
      <c r="D25" s="2"/>
      <c r="E25" s="2"/>
      <c r="F25" s="2"/>
      <c r="G25" s="2"/>
    </row>
    <row r="26" spans="1:7" x14ac:dyDescent="0.25">
      <c r="A26" s="2"/>
      <c r="B26" s="2"/>
      <c r="C26" s="2"/>
      <c r="D26" s="2"/>
      <c r="E26" s="2"/>
      <c r="F26" s="2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2"/>
      <c r="B29" s="2"/>
      <c r="C29" s="2"/>
      <c r="D29" s="2"/>
      <c r="E29" s="2"/>
      <c r="F29" s="2"/>
      <c r="G29" s="2"/>
    </row>
    <row r="31" spans="1:7" ht="15.75" x14ac:dyDescent="0.25">
      <c r="A31" s="4" t="s">
        <v>32</v>
      </c>
      <c r="B31" s="2"/>
      <c r="C31" s="2"/>
      <c r="D31" s="2"/>
      <c r="E31" s="2"/>
      <c r="F31" s="2"/>
      <c r="G31" s="2"/>
    </row>
    <row r="32" spans="1:7" x14ac:dyDescent="0.25">
      <c r="A32" s="2" t="s">
        <v>24</v>
      </c>
      <c r="B32" s="2" t="s">
        <v>25</v>
      </c>
      <c r="C32" s="2" t="s">
        <v>26</v>
      </c>
      <c r="D32" s="2" t="s">
        <v>27</v>
      </c>
      <c r="E32" s="2" t="s">
        <v>28</v>
      </c>
      <c r="F32" s="2" t="s">
        <v>29</v>
      </c>
      <c r="G32" s="2" t="s">
        <v>30</v>
      </c>
    </row>
    <row r="33" spans="1:7" x14ac:dyDescent="0.25">
      <c r="A33" s="2">
        <v>0</v>
      </c>
      <c r="B33" s="2">
        <v>6.7333333333333342E-2</v>
      </c>
      <c r="C33" s="2">
        <v>1.1015141094572134E-2</v>
      </c>
      <c r="D33" s="2">
        <v>14.349907914169057</v>
      </c>
      <c r="E33" s="2">
        <v>0.59752864092828284</v>
      </c>
      <c r="F33" s="2">
        <v>13.875660200843162</v>
      </c>
      <c r="G33" s="2">
        <v>2.2858278934213372</v>
      </c>
    </row>
    <row r="34" spans="1:7" x14ac:dyDescent="0.25">
      <c r="A34" s="2">
        <v>23</v>
      </c>
      <c r="B34" s="2">
        <v>1.6553333333333331</v>
      </c>
      <c r="C34" s="2">
        <v>2.5166114784235857E-2</v>
      </c>
      <c r="D34" s="2">
        <v>12.745445515883356</v>
      </c>
      <c r="E34" s="2">
        <v>1.9706003420106761</v>
      </c>
      <c r="F34" s="2">
        <v>13.532873857230827</v>
      </c>
      <c r="G34" s="2">
        <v>0.79907104751822622</v>
      </c>
    </row>
    <row r="35" spans="1:7" x14ac:dyDescent="0.25">
      <c r="A35" s="2">
        <v>46</v>
      </c>
      <c r="B35" s="2">
        <v>8.3833333333333329</v>
      </c>
      <c r="C35" s="2">
        <v>0.44792112400883016</v>
      </c>
      <c r="D35" s="2">
        <v>10.162298960414674</v>
      </c>
      <c r="E35" s="2">
        <v>1.0422130604539972</v>
      </c>
      <c r="F35" s="2">
        <v>12.642727724882761</v>
      </c>
      <c r="G35" s="2">
        <v>1.4007095613687686</v>
      </c>
    </row>
    <row r="36" spans="1:7" x14ac:dyDescent="0.25">
      <c r="A36" s="2">
        <v>67</v>
      </c>
      <c r="B36" s="2">
        <v>10.266666666666667</v>
      </c>
      <c r="C36" s="2">
        <v>0.52319531088622528</v>
      </c>
      <c r="D36" s="2">
        <v>9.4642188631164395</v>
      </c>
      <c r="E36" s="2">
        <v>1.7297321129815042</v>
      </c>
      <c r="F36" s="2">
        <v>12.388950073421439</v>
      </c>
      <c r="G36" s="2">
        <v>0.97642392717769011</v>
      </c>
    </row>
    <row r="37" spans="1:7" x14ac:dyDescent="0.25">
      <c r="A37" s="2">
        <v>112</v>
      </c>
      <c r="B37" s="2">
        <v>12.373333333333335</v>
      </c>
      <c r="C37" s="2">
        <v>2.6733000829187286</v>
      </c>
      <c r="D37" s="2">
        <v>7.3850134653809398</v>
      </c>
      <c r="E37" s="2">
        <v>1.5533311536364423</v>
      </c>
      <c r="F37" s="2">
        <v>10.536426507507935</v>
      </c>
      <c r="G37" s="2">
        <v>0.8745939822634472</v>
      </c>
    </row>
    <row r="38" spans="1:7" x14ac:dyDescent="0.25">
      <c r="A38" s="2">
        <v>120</v>
      </c>
      <c r="B38" s="2">
        <v>12.299999999999999</v>
      </c>
      <c r="C38" s="2">
        <v>2.4252010225958571</v>
      </c>
      <c r="D38" s="2">
        <v>6.9977606926707798</v>
      </c>
      <c r="E38" s="2">
        <v>1.396948604043184</v>
      </c>
      <c r="F38" s="2">
        <v>10.222384065179289</v>
      </c>
      <c r="G38" s="2">
        <v>0.87113858857497994</v>
      </c>
    </row>
    <row r="40" spans="1:7" ht="15.75" x14ac:dyDescent="0.25">
      <c r="A40" s="4" t="s">
        <v>33</v>
      </c>
      <c r="B40" s="2"/>
      <c r="C40" s="2"/>
      <c r="D40" s="2"/>
      <c r="E40" s="2"/>
      <c r="F40" s="2"/>
      <c r="G40" s="2"/>
    </row>
    <row r="41" spans="1:7" x14ac:dyDescent="0.25">
      <c r="A41" s="2" t="s">
        <v>24</v>
      </c>
      <c r="B41" s="2" t="s">
        <v>25</v>
      </c>
      <c r="C41" s="2" t="s">
        <v>26</v>
      </c>
      <c r="D41" s="2" t="s">
        <v>27</v>
      </c>
      <c r="E41" s="2" t="s">
        <v>28</v>
      </c>
      <c r="F41" s="2" t="s">
        <v>29</v>
      </c>
      <c r="G41" s="2" t="s">
        <v>30</v>
      </c>
    </row>
    <row r="42" spans="1:7" x14ac:dyDescent="0.25">
      <c r="A42" s="2">
        <v>0</v>
      </c>
      <c r="B42" s="2">
        <v>6.8333333333333329E-2</v>
      </c>
      <c r="C42" s="2">
        <v>8.3266639978645304E-3</v>
      </c>
      <c r="D42" s="2">
        <v>7.9107917064836535</v>
      </c>
      <c r="E42" s="2">
        <v>1.5027297451737553</v>
      </c>
      <c r="F42" s="2">
        <v>22.555791412060064</v>
      </c>
      <c r="G42" s="2">
        <v>1.8040196641673918</v>
      </c>
    </row>
    <row r="43" spans="1:7" x14ac:dyDescent="0.25">
      <c r="A43" s="2">
        <v>23</v>
      </c>
      <c r="B43" s="2">
        <v>1.6066666666666665</v>
      </c>
      <c r="C43" s="2">
        <v>4.2158431343366248E-2</v>
      </c>
      <c r="D43" s="2">
        <v>6.5538664465873238</v>
      </c>
      <c r="E43" s="2">
        <v>1.8603559718372837</v>
      </c>
      <c r="F43" s="2">
        <v>21.412521908010046</v>
      </c>
      <c r="G43" s="2">
        <v>1.0328171813760398</v>
      </c>
    </row>
    <row r="44" spans="1:7" x14ac:dyDescent="0.25">
      <c r="A44" s="2">
        <v>46</v>
      </c>
      <c r="B44" s="2">
        <v>7.8433333333333337</v>
      </c>
      <c r="C44" s="2">
        <v>0.35004761580866833</v>
      </c>
      <c r="D44" s="2">
        <v>4.6580161005415119</v>
      </c>
      <c r="E44" s="2">
        <v>1.6723448949051019</v>
      </c>
      <c r="F44" s="2">
        <v>20.454484628866467</v>
      </c>
      <c r="G44" s="2">
        <v>0.70182031295292069</v>
      </c>
    </row>
    <row r="45" spans="1:7" x14ac:dyDescent="0.25">
      <c r="A45" s="2">
        <v>67</v>
      </c>
      <c r="B45" s="2">
        <v>9.7433333333333341</v>
      </c>
      <c r="C45" s="2">
        <v>0.15044378795195709</v>
      </c>
      <c r="D45" s="2">
        <v>3.6969933107462434</v>
      </c>
      <c r="E45" s="2">
        <v>1.6052886171210281</v>
      </c>
      <c r="F45" s="2">
        <v>18.801821325375396</v>
      </c>
      <c r="G45" s="2">
        <v>0.50949838551644133</v>
      </c>
    </row>
    <row r="46" spans="1:7" x14ac:dyDescent="0.25">
      <c r="A46" s="2">
        <v>112</v>
      </c>
      <c r="B46" s="2">
        <v>11.606666666666667</v>
      </c>
      <c r="C46" s="2">
        <v>1.5821925715074505</v>
      </c>
      <c r="D46" s="2">
        <v>2.6928523441345962</v>
      </c>
      <c r="E46" s="2">
        <v>1.7563372882762578</v>
      </c>
      <c r="F46" s="2">
        <v>16.433257543460755</v>
      </c>
      <c r="G46" s="2">
        <v>1.2030834335665004</v>
      </c>
    </row>
    <row r="47" spans="1:7" x14ac:dyDescent="0.25">
      <c r="A47" s="2">
        <v>120</v>
      </c>
      <c r="B47" s="2">
        <v>11.853333333333333</v>
      </c>
      <c r="C47" s="2">
        <v>2.1546538778498188</v>
      </c>
      <c r="D47" s="2">
        <v>2.4158535314047431</v>
      </c>
      <c r="E47" s="2">
        <v>1.5149953372538456</v>
      </c>
      <c r="F47" s="2">
        <v>16.839278101463691</v>
      </c>
      <c r="G47" s="2">
        <v>0.24777971009678285</v>
      </c>
    </row>
    <row r="49" spans="1:7" ht="15.75" x14ac:dyDescent="0.25">
      <c r="A49" s="4" t="s">
        <v>5</v>
      </c>
      <c r="B49" s="2"/>
      <c r="C49" s="2"/>
      <c r="D49" s="2"/>
      <c r="E49" s="2"/>
      <c r="F49" s="2"/>
      <c r="G49" s="2"/>
    </row>
    <row r="50" spans="1:7" x14ac:dyDescent="0.25">
      <c r="A50" s="2" t="s">
        <v>24</v>
      </c>
      <c r="B50" s="2" t="s">
        <v>25</v>
      </c>
      <c r="C50" s="2" t="s">
        <v>26</v>
      </c>
      <c r="D50" s="2" t="s">
        <v>27</v>
      </c>
      <c r="E50" s="2" t="s">
        <v>28</v>
      </c>
      <c r="F50" s="2" t="s">
        <v>29</v>
      </c>
      <c r="G50" s="2" t="s">
        <v>30</v>
      </c>
    </row>
    <row r="51" spans="1:7" x14ac:dyDescent="0.25">
      <c r="A51" s="2">
        <v>0</v>
      </c>
      <c r="B51" s="2">
        <v>6.3E-2</v>
      </c>
      <c r="C51" s="2">
        <v>7.0000000000000019E-3</v>
      </c>
      <c r="D51" s="2">
        <v>1.179751831581386</v>
      </c>
      <c r="E51" s="2">
        <v>1.3517976215136807</v>
      </c>
      <c r="F51" s="2">
        <v>29.543413386386245</v>
      </c>
      <c r="G51" s="2">
        <v>2.1900355625033883</v>
      </c>
    </row>
    <row r="52" spans="1:7" x14ac:dyDescent="0.25">
      <c r="A52" s="2">
        <v>23</v>
      </c>
      <c r="B52" s="2">
        <v>1.4533333333333331</v>
      </c>
      <c r="C52" s="2">
        <v>6.7121779873103346E-2</v>
      </c>
      <c r="D52" s="2">
        <v>0.94259027596791478</v>
      </c>
      <c r="E52" s="2">
        <v>1.1279903788249239</v>
      </c>
      <c r="F52" s="2">
        <v>28.996074321443796</v>
      </c>
      <c r="G52" s="2">
        <v>0.71511041334444803</v>
      </c>
    </row>
    <row r="53" spans="1:7" x14ac:dyDescent="0.25">
      <c r="A53" s="2">
        <v>46</v>
      </c>
      <c r="B53" s="2">
        <v>7.1000000000000005</v>
      </c>
      <c r="C53" s="2">
        <v>0.75345869163478352</v>
      </c>
      <c r="D53" s="2">
        <v>0.59405409318622771</v>
      </c>
      <c r="E53" s="2">
        <v>0.53398973289316887</v>
      </c>
      <c r="F53" s="2">
        <v>26.945780635687555</v>
      </c>
      <c r="G53" s="2">
        <v>0.70008176528783383</v>
      </c>
    </row>
    <row r="54" spans="1:7" x14ac:dyDescent="0.25">
      <c r="A54" s="2">
        <v>67</v>
      </c>
      <c r="B54" s="2">
        <v>8.57</v>
      </c>
      <c r="C54" s="2">
        <v>1.0095048291117783</v>
      </c>
      <c r="D54" s="2">
        <v>0.41598094576202471</v>
      </c>
      <c r="E54" s="2">
        <v>0.25594324556849879</v>
      </c>
      <c r="F54" s="2">
        <v>24.525105395291551</v>
      </c>
      <c r="G54" s="2">
        <v>0.54735073557722247</v>
      </c>
    </row>
    <row r="55" spans="1:7" x14ac:dyDescent="0.25">
      <c r="A55" s="2">
        <v>112</v>
      </c>
      <c r="B55" s="2">
        <v>10.543333333333335</v>
      </c>
      <c r="C55" s="2">
        <v>1.8293805873391411</v>
      </c>
      <c r="D55" s="2">
        <v>0.33396084904294443</v>
      </c>
      <c r="E55" s="2">
        <v>0.1766685467384016</v>
      </c>
      <c r="F55" s="2">
        <v>21.408566624034865</v>
      </c>
      <c r="G55" s="2">
        <v>1.0392519141116503</v>
      </c>
    </row>
    <row r="56" spans="1:7" x14ac:dyDescent="0.25">
      <c r="A56" s="2">
        <v>120</v>
      </c>
      <c r="B56" s="2">
        <v>9.8633333333333333</v>
      </c>
      <c r="C56" s="2">
        <v>2.1882032203004709</v>
      </c>
      <c r="D56" s="2">
        <v>0.23103900616801321</v>
      </c>
      <c r="E56" s="2">
        <v>0.1571075085597933</v>
      </c>
      <c r="F56" s="2">
        <v>21.407595566292457</v>
      </c>
      <c r="G56" s="2">
        <v>0.61470957921284186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opLeftCell="A37" zoomScale="90" zoomScaleNormal="90" workbookViewId="0">
      <selection activeCell="R19" sqref="R19"/>
    </sheetView>
  </sheetViews>
  <sheetFormatPr defaultRowHeight="15" x14ac:dyDescent="0.25"/>
  <sheetData>
    <row r="1" spans="1:11" ht="18.75" x14ac:dyDescent="0.3">
      <c r="A1" s="6" t="s">
        <v>56</v>
      </c>
    </row>
    <row r="2" spans="1:11" x14ac:dyDescent="0.25">
      <c r="A2" t="s">
        <v>24</v>
      </c>
      <c r="B2" t="s">
        <v>37</v>
      </c>
      <c r="C2" t="s">
        <v>37</v>
      </c>
      <c r="D2" t="s">
        <v>38</v>
      </c>
      <c r="E2" t="s">
        <v>38</v>
      </c>
      <c r="F2" t="s">
        <v>39</v>
      </c>
      <c r="G2" t="s">
        <v>39</v>
      </c>
      <c r="H2" t="s">
        <v>40</v>
      </c>
      <c r="I2" t="s">
        <v>40</v>
      </c>
      <c r="J2" t="s">
        <v>41</v>
      </c>
      <c r="K2" t="s">
        <v>41</v>
      </c>
    </row>
    <row r="3" spans="1:11" x14ac:dyDescent="0.25">
      <c r="A3" s="2">
        <v>0</v>
      </c>
      <c r="B3" s="2">
        <v>29.491387079025859</v>
      </c>
      <c r="C3">
        <f>LN($B$3/B3)</f>
        <v>0</v>
      </c>
      <c r="D3" s="2">
        <v>21.768200561781484</v>
      </c>
      <c r="E3">
        <f>LN(D3/D3)</f>
        <v>0</v>
      </c>
      <c r="F3" s="2">
        <v>14.349907914169057</v>
      </c>
      <c r="G3">
        <f>LN(F3/F3)</f>
        <v>0</v>
      </c>
      <c r="H3" s="2">
        <v>7.9107917064836535</v>
      </c>
      <c r="I3">
        <f>LN(H3/H3)</f>
        <v>0</v>
      </c>
      <c r="J3" s="2">
        <v>1.179751831581386</v>
      </c>
      <c r="K3">
        <f>LN(J3/J3)</f>
        <v>0</v>
      </c>
    </row>
    <row r="4" spans="1:11" x14ac:dyDescent="0.25">
      <c r="A4" s="2">
        <v>23</v>
      </c>
      <c r="B4" s="2">
        <v>26.643479280688037</v>
      </c>
      <c r="C4">
        <f>LN(B3/B4)</f>
        <v>0.10155381651959629</v>
      </c>
      <c r="D4" s="2">
        <v>20.321642197318507</v>
      </c>
      <c r="E4">
        <f>LN(D3/D4)</f>
        <v>6.8763778802828912E-2</v>
      </c>
      <c r="F4" s="2">
        <v>12.745445515883356</v>
      </c>
      <c r="G4">
        <f>LN(F3/F4)</f>
        <v>0.11856953170632617</v>
      </c>
      <c r="H4" s="2">
        <v>6.5538664465873238</v>
      </c>
      <c r="I4">
        <f>LN(H3/H4)</f>
        <v>0.18817269340700224</v>
      </c>
      <c r="J4" s="2">
        <v>0.94259027596791478</v>
      </c>
      <c r="K4">
        <f>LN(J3/J4)</f>
        <v>0.22442768486627868</v>
      </c>
    </row>
    <row r="5" spans="1:11" x14ac:dyDescent="0.25">
      <c r="A5" s="2">
        <v>46</v>
      </c>
      <c r="B5" s="2">
        <v>21.850139576636838</v>
      </c>
      <c r="C5">
        <f>LN(B3/B5)</f>
        <v>0.2998909478253417</v>
      </c>
      <c r="D5" s="2">
        <v>17.23420119885327</v>
      </c>
      <c r="E5">
        <f>LN(D3/D5)</f>
        <v>0.23355436376516242</v>
      </c>
      <c r="F5" s="2">
        <v>10.162298960414674</v>
      </c>
      <c r="G5">
        <f>LN(F3/F5)</f>
        <v>0.34505883286873218</v>
      </c>
      <c r="H5" s="2">
        <v>4.6580161005415119</v>
      </c>
      <c r="I5">
        <f>LN(H3/H5)</f>
        <v>0.52963823809472088</v>
      </c>
      <c r="J5" s="2">
        <v>0.59405409318622771</v>
      </c>
      <c r="K5">
        <f>LN(J3/J5)</f>
        <v>0.68608900193535838</v>
      </c>
    </row>
    <row r="6" spans="1:11" x14ac:dyDescent="0.25">
      <c r="A6" s="2">
        <v>67</v>
      </c>
      <c r="B6" s="2">
        <v>18.23848116294559</v>
      </c>
      <c r="C6">
        <f>LN(B3/B6)</f>
        <v>0.48056454568957369</v>
      </c>
      <c r="D6" s="2">
        <v>15.356710103379376</v>
      </c>
      <c r="E6">
        <f>LN(D3/D6)</f>
        <v>0.34889769624425077</v>
      </c>
      <c r="F6" s="2">
        <v>9.4642188631164395</v>
      </c>
      <c r="G6">
        <f>LN(F3/F6)</f>
        <v>0.41622527278766502</v>
      </c>
      <c r="H6" s="2">
        <v>3.6969933107462434</v>
      </c>
      <c r="I6">
        <f>LN(H3/H6)</f>
        <v>0.76070799550683688</v>
      </c>
      <c r="J6" s="2">
        <v>0.41598094576202471</v>
      </c>
      <c r="K6">
        <f>LN(J3/J6)</f>
        <v>1.0424199273662484</v>
      </c>
    </row>
    <row r="7" spans="1:11" x14ac:dyDescent="0.25">
      <c r="A7">
        <v>112</v>
      </c>
      <c r="B7" s="2">
        <v>14.38679726638288</v>
      </c>
      <c r="C7">
        <f>LN(B3/B7)</f>
        <v>0.71778732778254772</v>
      </c>
      <c r="D7" s="2">
        <v>12.544316161352908</v>
      </c>
      <c r="E7">
        <f>LN(D3/D7)</f>
        <v>0.55118254756486174</v>
      </c>
      <c r="F7" s="2">
        <v>7.3850134653809398</v>
      </c>
      <c r="G7">
        <f>LN(F3/F7)</f>
        <v>0.66429078573024669</v>
      </c>
      <c r="H7" s="2">
        <v>2.6928523441345962</v>
      </c>
      <c r="I7">
        <f>LN(H3/H7)</f>
        <v>1.0776268832680787</v>
      </c>
      <c r="J7" s="2">
        <v>0.33396084904294443</v>
      </c>
      <c r="K7">
        <f>LN(J3/J7)</f>
        <v>1.2620356154500452</v>
      </c>
    </row>
    <row r="8" spans="1:11" x14ac:dyDescent="0.25">
      <c r="A8">
        <v>120</v>
      </c>
      <c r="B8" s="2">
        <v>13.819299510613035</v>
      </c>
      <c r="C8">
        <f>LN(B3/B8)</f>
        <v>0.75803212687999522</v>
      </c>
      <c r="D8" s="2">
        <v>12.246502475892621</v>
      </c>
      <c r="E8">
        <f>LN(D3/D8)</f>
        <v>0.57520983099243417</v>
      </c>
      <c r="F8" s="2">
        <v>6.9977606926707798</v>
      </c>
      <c r="G8">
        <f>LN(F3/F8)</f>
        <v>0.71815332822493738</v>
      </c>
      <c r="H8" s="2">
        <v>2.4158535314047431</v>
      </c>
      <c r="I8">
        <f>LN(H3/H8)</f>
        <v>1.1861752122699469</v>
      </c>
      <c r="J8" s="2">
        <v>0.23103900616801321</v>
      </c>
      <c r="K8">
        <f>LN(J3/J8)</f>
        <v>1.630472828984735</v>
      </c>
    </row>
    <row r="10" spans="1:11" x14ac:dyDescent="0.25">
      <c r="A10" t="s">
        <v>24</v>
      </c>
      <c r="B10" t="s">
        <v>42</v>
      </c>
      <c r="C10" t="s">
        <v>42</v>
      </c>
      <c r="D10" t="s">
        <v>43</v>
      </c>
      <c r="E10" t="s">
        <v>43</v>
      </c>
      <c r="F10" t="s">
        <v>44</v>
      </c>
      <c r="G10" t="s">
        <v>44</v>
      </c>
      <c r="H10" t="s">
        <v>45</v>
      </c>
      <c r="I10" t="s">
        <v>45</v>
      </c>
      <c r="J10" t="s">
        <v>46</v>
      </c>
      <c r="K10" t="s">
        <v>46</v>
      </c>
    </row>
    <row r="11" spans="1:11" x14ac:dyDescent="0.25">
      <c r="A11" s="2">
        <v>0</v>
      </c>
      <c r="B11" s="2">
        <v>0.19162403486334137</v>
      </c>
      <c r="C11">
        <f>LN($B$11/B11)</f>
        <v>0</v>
      </c>
      <c r="D11" s="2">
        <v>6.5974788025200128</v>
      </c>
      <c r="E11">
        <f>LN($D$11/D11)</f>
        <v>0</v>
      </c>
      <c r="F11" s="2">
        <v>13.875660200843162</v>
      </c>
      <c r="G11">
        <f>LN($F$11/F11)</f>
        <v>0</v>
      </c>
      <c r="H11" s="2">
        <v>22.555791412060064</v>
      </c>
      <c r="I11">
        <f>LN($H$11/H11)</f>
        <v>0</v>
      </c>
      <c r="J11" s="2">
        <v>29.543413386386245</v>
      </c>
      <c r="K11">
        <f>LN($J$11/J11)</f>
        <v>0</v>
      </c>
    </row>
    <row r="12" spans="1:11" x14ac:dyDescent="0.25">
      <c r="A12" s="2">
        <v>23</v>
      </c>
      <c r="B12" s="2">
        <v>0.32545237080195161</v>
      </c>
      <c r="C12">
        <f t="shared" ref="C12:C16" si="0">LN($B$11/B12)</f>
        <v>-0.52968082409183348</v>
      </c>
      <c r="D12" s="2">
        <v>6.6710778740940739</v>
      </c>
      <c r="E12">
        <f t="shared" ref="E12:E16" si="1">LN($D$11/D12)</f>
        <v>-1.1093870751802709E-2</v>
      </c>
      <c r="F12" s="2">
        <v>13.532873857230827</v>
      </c>
      <c r="G12">
        <f t="shared" ref="G12:G16" si="2">LN($F$11/F12)</f>
        <v>2.501441461619067E-2</v>
      </c>
      <c r="H12" s="2">
        <v>21.412521908010046</v>
      </c>
      <c r="I12">
        <f t="shared" ref="I12:I16" si="3">LN($H$11/H12)</f>
        <v>5.2015971552342305E-2</v>
      </c>
      <c r="J12" s="2">
        <v>28.996074321443796</v>
      </c>
      <c r="K12">
        <f t="shared" ref="K12:K16" si="4">LN($J$11/J12)</f>
        <v>1.8700369163718852E-2</v>
      </c>
    </row>
    <row r="13" spans="1:11" x14ac:dyDescent="0.25">
      <c r="A13" s="2">
        <v>46</v>
      </c>
      <c r="B13" s="2">
        <v>0.31246743403912652</v>
      </c>
      <c r="C13">
        <f t="shared" si="0"/>
        <v>-0.48896495208253637</v>
      </c>
      <c r="D13" s="2">
        <v>6.2952074747761833</v>
      </c>
      <c r="E13">
        <f t="shared" si="1"/>
        <v>4.6898950818749709E-2</v>
      </c>
      <c r="F13" s="2">
        <v>12.642727724882761</v>
      </c>
      <c r="G13">
        <f t="shared" si="2"/>
        <v>9.3054074087032521E-2</v>
      </c>
      <c r="H13" s="2">
        <v>20.454484628866467</v>
      </c>
      <c r="I13">
        <f t="shared" si="3"/>
        <v>9.7789702641448761E-2</v>
      </c>
      <c r="J13" s="2">
        <v>26.945780635687555</v>
      </c>
      <c r="K13">
        <f t="shared" si="4"/>
        <v>9.2034099346429449E-2</v>
      </c>
    </row>
    <row r="14" spans="1:11" x14ac:dyDescent="0.25">
      <c r="A14" s="2">
        <v>67</v>
      </c>
      <c r="B14" s="2">
        <v>0.29491142058642411</v>
      </c>
      <c r="C14">
        <f t="shared" si="0"/>
        <v>-0.43113974146266204</v>
      </c>
      <c r="D14" s="2">
        <v>5.7057576618824299</v>
      </c>
      <c r="E14">
        <f t="shared" si="1"/>
        <v>0.14521179529752606</v>
      </c>
      <c r="F14" s="2">
        <v>12.388950073421439</v>
      </c>
      <c r="G14">
        <f t="shared" si="2"/>
        <v>0.11333128832968013</v>
      </c>
      <c r="H14" s="2">
        <v>18.801821325375396</v>
      </c>
      <c r="I14">
        <f t="shared" si="3"/>
        <v>0.18203811419045021</v>
      </c>
      <c r="J14" s="2">
        <v>24.525105395291551</v>
      </c>
      <c r="K14">
        <f t="shared" si="4"/>
        <v>0.18616351885535118</v>
      </c>
    </row>
    <row r="15" spans="1:11" x14ac:dyDescent="0.25">
      <c r="A15">
        <v>112</v>
      </c>
      <c r="B15" s="2">
        <v>0.34535905452133958</v>
      </c>
      <c r="C15">
        <f t="shared" si="0"/>
        <v>-0.58904931299353491</v>
      </c>
      <c r="D15" s="2">
        <v>4.7119688787835727</v>
      </c>
      <c r="E15">
        <f t="shared" si="1"/>
        <v>0.33658173477870162</v>
      </c>
      <c r="F15" s="2">
        <v>10.536426507507935</v>
      </c>
      <c r="G15">
        <f t="shared" si="2"/>
        <v>0.27529779595085097</v>
      </c>
      <c r="H15" s="2">
        <v>16.433257543460755</v>
      </c>
      <c r="I15">
        <f t="shared" si="3"/>
        <v>0.31668467793310745</v>
      </c>
      <c r="J15" s="2">
        <v>21.408566624034865</v>
      </c>
      <c r="K15">
        <f t="shared" si="4"/>
        <v>0.32206967030135153</v>
      </c>
    </row>
    <row r="16" spans="1:11" x14ac:dyDescent="0.25">
      <c r="A16">
        <v>120</v>
      </c>
      <c r="B16" s="2">
        <v>0.34003600018947466</v>
      </c>
      <c r="C16">
        <f t="shared" si="0"/>
        <v>-0.57351619432645373</v>
      </c>
      <c r="D16" s="2">
        <v>4.586400454739235</v>
      </c>
      <c r="E16">
        <f t="shared" si="1"/>
        <v>0.36359207467223542</v>
      </c>
      <c r="F16" s="2">
        <v>10.222384065179289</v>
      </c>
      <c r="G16">
        <f t="shared" si="2"/>
        <v>0.30555640849257898</v>
      </c>
      <c r="H16" s="2">
        <v>16.839278101463691</v>
      </c>
      <c r="I16">
        <f t="shared" si="3"/>
        <v>0.29227771853200102</v>
      </c>
      <c r="J16" s="2">
        <v>21.407595566292457</v>
      </c>
      <c r="K16">
        <f t="shared" si="4"/>
        <v>0.32211502970270378</v>
      </c>
    </row>
    <row r="18" spans="1:7" ht="15.75" x14ac:dyDescent="0.25">
      <c r="A18" s="4" t="s">
        <v>1</v>
      </c>
      <c r="B18" s="2"/>
      <c r="C18" s="2"/>
    </row>
    <row r="19" spans="1:7" x14ac:dyDescent="0.25">
      <c r="A19" s="2" t="s">
        <v>24</v>
      </c>
      <c r="B19" s="2" t="s">
        <v>60</v>
      </c>
      <c r="C19" s="2" t="s">
        <v>26</v>
      </c>
      <c r="D19" t="s">
        <v>37</v>
      </c>
      <c r="E19" t="s">
        <v>68</v>
      </c>
      <c r="F19" t="s">
        <v>42</v>
      </c>
      <c r="G19" t="s">
        <v>59</v>
      </c>
    </row>
    <row r="20" spans="1:7" x14ac:dyDescent="0.25">
      <c r="A20" s="2">
        <v>0</v>
      </c>
      <c r="B20" s="2">
        <v>5.4333333333333338E-2</v>
      </c>
      <c r="C20" s="2">
        <v>1.2503332889007355E-2</v>
      </c>
      <c r="D20" s="2">
        <v>29.491387079025859</v>
      </c>
      <c r="E20">
        <f>LN($B$3/D20)</f>
        <v>0</v>
      </c>
      <c r="F20" s="2">
        <v>0.19162403486334137</v>
      </c>
      <c r="G20">
        <f>LN($B$11/F20)</f>
        <v>0</v>
      </c>
    </row>
    <row r="21" spans="1:7" x14ac:dyDescent="0.25">
      <c r="A21" s="2">
        <v>23</v>
      </c>
      <c r="B21" s="2">
        <v>1.79</v>
      </c>
      <c r="C21" s="2">
        <v>2.200000000000002E-2</v>
      </c>
      <c r="D21" s="2">
        <v>26.643479280688037</v>
      </c>
      <c r="E21">
        <f>LN(D20/D21)</f>
        <v>0.10155381651959629</v>
      </c>
      <c r="F21" s="2">
        <v>0.32545237080195161</v>
      </c>
      <c r="G21">
        <f t="shared" ref="G21:G25" si="5">LN($B$11/F21)</f>
        <v>-0.52968082409183348</v>
      </c>
    </row>
    <row r="22" spans="1:7" x14ac:dyDescent="0.25">
      <c r="A22" s="2">
        <v>46</v>
      </c>
      <c r="B22" s="2">
        <v>9.5066666666666659</v>
      </c>
      <c r="C22" s="2">
        <v>7.0237691685685194E-2</v>
      </c>
      <c r="D22" s="2">
        <v>21.850139576636838</v>
      </c>
      <c r="E22">
        <f>LN(D20/D22)</f>
        <v>0.2998909478253417</v>
      </c>
      <c r="F22" s="2">
        <v>0.31246743403912652</v>
      </c>
      <c r="G22">
        <f t="shared" si="5"/>
        <v>-0.48896495208253637</v>
      </c>
    </row>
    <row r="23" spans="1:7" x14ac:dyDescent="0.25">
      <c r="A23" s="2">
        <v>67</v>
      </c>
      <c r="B23" s="2">
        <v>11.766666666666666</v>
      </c>
      <c r="C23" s="2">
        <v>0.35004761580866839</v>
      </c>
      <c r="D23" s="2">
        <v>18.23848116294559</v>
      </c>
      <c r="E23">
        <f>LN(D20/D23)</f>
        <v>0.48056454568957369</v>
      </c>
      <c r="F23" s="2">
        <v>0.29491142058642411</v>
      </c>
      <c r="G23">
        <f t="shared" si="5"/>
        <v>-0.43113974146266204</v>
      </c>
    </row>
    <row r="24" spans="1:7" x14ac:dyDescent="0.25">
      <c r="A24" s="2">
        <v>112</v>
      </c>
      <c r="B24" s="2">
        <v>14.680000000000001</v>
      </c>
      <c r="C24" s="2">
        <v>2.7197794028192694</v>
      </c>
      <c r="D24" s="2">
        <v>14.38679726638288</v>
      </c>
      <c r="E24">
        <f>LN(D20/D24)</f>
        <v>0.71778732778254772</v>
      </c>
      <c r="F24" s="2">
        <v>0.34535905452133958</v>
      </c>
      <c r="G24">
        <f t="shared" si="5"/>
        <v>-0.58904931299353491</v>
      </c>
    </row>
    <row r="25" spans="1:7" x14ac:dyDescent="0.25">
      <c r="A25" s="2">
        <v>120</v>
      </c>
      <c r="B25" s="2">
        <v>14.353333333333333</v>
      </c>
      <c r="C25" s="2">
        <v>3.0392323592205575</v>
      </c>
      <c r="D25" s="2">
        <v>13.819299510613035</v>
      </c>
      <c r="E25">
        <f>LN(D20/D25)</f>
        <v>0.75803212687999522</v>
      </c>
      <c r="F25" s="2">
        <v>0.34003600018947466</v>
      </c>
      <c r="G25">
        <f t="shared" si="5"/>
        <v>-0.57351619432645373</v>
      </c>
    </row>
    <row r="28" spans="1:7" ht="15.75" x14ac:dyDescent="0.25">
      <c r="A28" s="4" t="s">
        <v>31</v>
      </c>
      <c r="B28" s="2"/>
      <c r="C28" s="2"/>
    </row>
    <row r="29" spans="1:7" x14ac:dyDescent="0.25">
      <c r="A29" s="2" t="s">
        <v>24</v>
      </c>
      <c r="B29" s="2" t="s">
        <v>60</v>
      </c>
      <c r="C29" s="2" t="s">
        <v>26</v>
      </c>
      <c r="D29" t="s">
        <v>38</v>
      </c>
      <c r="E29" t="s">
        <v>67</v>
      </c>
      <c r="F29" t="s">
        <v>43</v>
      </c>
      <c r="G29" t="s">
        <v>69</v>
      </c>
    </row>
    <row r="30" spans="1:7" x14ac:dyDescent="0.25">
      <c r="A30" s="2">
        <v>0</v>
      </c>
      <c r="B30" s="2">
        <v>6.7666666666666667E-2</v>
      </c>
      <c r="C30" s="2">
        <v>1.5947831618540877E-2</v>
      </c>
      <c r="D30" s="2">
        <v>21.768200561781484</v>
      </c>
      <c r="E30">
        <f>LN(D30/D30)</f>
        <v>0</v>
      </c>
      <c r="F30" s="2">
        <v>6.5974788025200128</v>
      </c>
      <c r="G30">
        <f>LN($D$11/F30)</f>
        <v>0</v>
      </c>
    </row>
    <row r="31" spans="1:7" x14ac:dyDescent="0.25">
      <c r="A31" s="2">
        <v>23</v>
      </c>
      <c r="B31" s="2">
        <v>1.6953333333333334</v>
      </c>
      <c r="C31" s="2">
        <v>4.2394968254892425E-2</v>
      </c>
      <c r="D31" s="2">
        <v>20.321642197318507</v>
      </c>
      <c r="E31">
        <f>LN(D30/D31)</f>
        <v>6.8763778802828912E-2</v>
      </c>
      <c r="F31" s="2">
        <v>6.6710778740940739</v>
      </c>
      <c r="G31">
        <f t="shared" ref="G31:G35" si="6">LN($D$11/F31)</f>
        <v>-1.1093870751802709E-2</v>
      </c>
    </row>
    <row r="32" spans="1:7" x14ac:dyDescent="0.25">
      <c r="A32" s="2">
        <v>46</v>
      </c>
      <c r="B32" s="2">
        <v>8.6300000000000008</v>
      </c>
      <c r="C32" s="2">
        <v>0.49869830559166739</v>
      </c>
      <c r="D32" s="2">
        <v>17.23420119885327</v>
      </c>
      <c r="E32">
        <f>LN(D30/D32)</f>
        <v>0.23355436376516242</v>
      </c>
      <c r="F32" s="2">
        <v>6.2952074747761833</v>
      </c>
      <c r="G32">
        <f t="shared" si="6"/>
        <v>4.6898950818749709E-2</v>
      </c>
    </row>
    <row r="33" spans="1:7" x14ac:dyDescent="0.25">
      <c r="A33" s="2">
        <v>67</v>
      </c>
      <c r="B33" s="2">
        <v>10.293333333333335</v>
      </c>
      <c r="C33" s="2">
        <v>0.91358269102108836</v>
      </c>
      <c r="D33" s="2">
        <v>15.356710103379376</v>
      </c>
      <c r="E33">
        <f>LN(D30/D33)</f>
        <v>0.34889769624425077</v>
      </c>
      <c r="F33" s="2">
        <v>5.7057576618824299</v>
      </c>
      <c r="G33">
        <f t="shared" si="6"/>
        <v>0.14521179529752606</v>
      </c>
    </row>
    <row r="34" spans="1:7" x14ac:dyDescent="0.25">
      <c r="A34" s="2">
        <v>112</v>
      </c>
      <c r="B34" s="2">
        <v>12.833333333333334</v>
      </c>
      <c r="C34" s="2">
        <v>3.2277752916418034</v>
      </c>
      <c r="D34" s="2">
        <v>12.544316161352908</v>
      </c>
      <c r="E34">
        <f>LN(D30/D34)</f>
        <v>0.55118254756486174</v>
      </c>
      <c r="F34" s="2">
        <v>4.7119688787835727</v>
      </c>
      <c r="G34">
        <f t="shared" si="6"/>
        <v>0.33658173477870162</v>
      </c>
    </row>
    <row r="35" spans="1:7" x14ac:dyDescent="0.25">
      <c r="A35" s="2">
        <v>120</v>
      </c>
      <c r="B35" s="2">
        <v>12.839999999999998</v>
      </c>
      <c r="C35" s="2">
        <v>3.230541750233245</v>
      </c>
      <c r="D35" s="2">
        <v>12.246502475892621</v>
      </c>
      <c r="E35">
        <f>LN(D30/D35)</f>
        <v>0.57520983099243417</v>
      </c>
      <c r="F35" s="2">
        <v>4.586400454739235</v>
      </c>
      <c r="G35">
        <f t="shared" si="6"/>
        <v>0.36359207467223542</v>
      </c>
    </row>
    <row r="37" spans="1:7" ht="15.75" x14ac:dyDescent="0.25">
      <c r="A37" s="4"/>
      <c r="B37" s="2"/>
      <c r="C37" s="2"/>
    </row>
    <row r="38" spans="1:7" x14ac:dyDescent="0.25">
      <c r="A38" s="2"/>
      <c r="B38" s="2"/>
      <c r="C38" s="2"/>
    </row>
    <row r="39" spans="1:7" x14ac:dyDescent="0.25">
      <c r="A39" s="2"/>
      <c r="B39" s="2"/>
      <c r="C39" s="2"/>
    </row>
    <row r="40" spans="1:7" x14ac:dyDescent="0.25">
      <c r="A40" s="2"/>
      <c r="B40" s="2"/>
      <c r="C40" s="2"/>
    </row>
    <row r="41" spans="1:7" x14ac:dyDescent="0.25">
      <c r="A41" s="2"/>
      <c r="B41" s="2"/>
      <c r="C41" s="2"/>
    </row>
    <row r="42" spans="1:7" x14ac:dyDescent="0.25">
      <c r="A42" s="2"/>
      <c r="B42" s="2"/>
      <c r="C42" s="2"/>
    </row>
    <row r="43" spans="1:7" x14ac:dyDescent="0.25">
      <c r="A43" s="2"/>
      <c r="B43" s="2"/>
      <c r="C43" s="2"/>
    </row>
    <row r="44" spans="1:7" x14ac:dyDescent="0.25">
      <c r="A44" s="2"/>
      <c r="B44" s="2"/>
      <c r="C44" s="2"/>
    </row>
    <row r="46" spans="1:7" ht="15.75" x14ac:dyDescent="0.25">
      <c r="A46" s="4" t="s">
        <v>32</v>
      </c>
      <c r="B46" s="2"/>
      <c r="C46" s="2"/>
    </row>
    <row r="47" spans="1:7" x14ac:dyDescent="0.25">
      <c r="A47" s="2" t="s">
        <v>24</v>
      </c>
      <c r="B47" s="2" t="s">
        <v>57</v>
      </c>
      <c r="C47" s="2" t="s">
        <v>26</v>
      </c>
      <c r="D47" t="s">
        <v>39</v>
      </c>
      <c r="E47" t="s">
        <v>61</v>
      </c>
      <c r="F47" t="s">
        <v>44</v>
      </c>
      <c r="G47" t="s">
        <v>62</v>
      </c>
    </row>
    <row r="48" spans="1:7" x14ac:dyDescent="0.25">
      <c r="A48" s="2">
        <v>0</v>
      </c>
      <c r="B48" s="2">
        <v>6.7333333333333342E-2</v>
      </c>
      <c r="C48" s="2">
        <v>1.1015141094572134E-2</v>
      </c>
      <c r="D48" s="2">
        <v>14.349907914169057</v>
      </c>
      <c r="E48">
        <f>LN(D48/D48)</f>
        <v>0</v>
      </c>
      <c r="F48" s="2">
        <v>13.875660200843162</v>
      </c>
      <c r="G48">
        <f>LN($F$11/F48)</f>
        <v>0</v>
      </c>
    </row>
    <row r="49" spans="1:7" x14ac:dyDescent="0.25">
      <c r="A49" s="2">
        <v>23</v>
      </c>
      <c r="B49" s="2">
        <v>1.6553333333333331</v>
      </c>
      <c r="C49" s="2">
        <v>2.5166114784235857E-2</v>
      </c>
      <c r="D49" s="2">
        <v>12.745445515883356</v>
      </c>
      <c r="E49">
        <f>LN(D48/D49)</f>
        <v>0.11856953170632617</v>
      </c>
      <c r="F49" s="2">
        <v>13.532873857230827</v>
      </c>
      <c r="G49">
        <f t="shared" ref="G49:G53" si="7">LN($F$11/F49)</f>
        <v>2.501441461619067E-2</v>
      </c>
    </row>
    <row r="50" spans="1:7" x14ac:dyDescent="0.25">
      <c r="A50" s="2">
        <v>46</v>
      </c>
      <c r="B50" s="2">
        <v>8.3833333333333329</v>
      </c>
      <c r="C50" s="2">
        <v>0.44792112400883016</v>
      </c>
      <c r="D50" s="2">
        <v>10.162298960414674</v>
      </c>
      <c r="E50">
        <f>LN(D48/D50)</f>
        <v>0.34505883286873218</v>
      </c>
      <c r="F50" s="2">
        <v>12.642727724882761</v>
      </c>
      <c r="G50">
        <f t="shared" si="7"/>
        <v>9.3054074087032521E-2</v>
      </c>
    </row>
    <row r="51" spans="1:7" x14ac:dyDescent="0.25">
      <c r="A51" s="2">
        <v>67</v>
      </c>
      <c r="B51" s="2">
        <v>10.266666666666667</v>
      </c>
      <c r="C51" s="2">
        <v>0.52319531088622528</v>
      </c>
      <c r="D51" s="2">
        <v>9.4642188631164395</v>
      </c>
      <c r="E51">
        <f>LN(D48/D51)</f>
        <v>0.41622527278766502</v>
      </c>
      <c r="F51" s="2">
        <v>12.388950073421439</v>
      </c>
      <c r="G51">
        <f t="shared" si="7"/>
        <v>0.11333128832968013</v>
      </c>
    </row>
    <row r="52" spans="1:7" x14ac:dyDescent="0.25">
      <c r="A52" s="2">
        <v>112</v>
      </c>
      <c r="B52" s="2">
        <v>12.373333333333335</v>
      </c>
      <c r="C52" s="2">
        <v>2.6733000829187286</v>
      </c>
      <c r="D52" s="2">
        <v>7.3850134653809398</v>
      </c>
      <c r="E52">
        <f>LN(D48/D52)</f>
        <v>0.66429078573024669</v>
      </c>
      <c r="F52" s="2">
        <v>10.536426507507935</v>
      </c>
      <c r="G52">
        <f t="shared" si="7"/>
        <v>0.27529779595085097</v>
      </c>
    </row>
    <row r="53" spans="1:7" x14ac:dyDescent="0.25">
      <c r="A53" s="2">
        <v>120</v>
      </c>
      <c r="B53" s="2">
        <v>12.299999999999999</v>
      </c>
      <c r="C53" s="2">
        <v>2.4252010225958571</v>
      </c>
      <c r="D53" s="2">
        <v>6.9977606926707798</v>
      </c>
      <c r="E53">
        <f>LN(D48/D53)</f>
        <v>0.71815332822493738</v>
      </c>
      <c r="F53" s="2">
        <v>10.222384065179289</v>
      </c>
      <c r="G53">
        <f t="shared" si="7"/>
        <v>0.30555640849257898</v>
      </c>
    </row>
    <row r="55" spans="1:7" ht="15.75" x14ac:dyDescent="0.25">
      <c r="A55" s="4" t="s">
        <v>33</v>
      </c>
      <c r="B55" s="2"/>
      <c r="C55" s="2"/>
    </row>
    <row r="56" spans="1:7" x14ac:dyDescent="0.25">
      <c r="A56" s="2" t="s">
        <v>24</v>
      </c>
      <c r="B56" s="2" t="s">
        <v>60</v>
      </c>
      <c r="C56" s="2" t="s">
        <v>26</v>
      </c>
      <c r="D56" t="s">
        <v>40</v>
      </c>
      <c r="E56" t="s">
        <v>63</v>
      </c>
      <c r="F56" t="s">
        <v>45</v>
      </c>
      <c r="G56" t="s">
        <v>64</v>
      </c>
    </row>
    <row r="57" spans="1:7" x14ac:dyDescent="0.25">
      <c r="A57" s="2">
        <v>0</v>
      </c>
      <c r="B57" s="2">
        <v>6.8333333333333329E-2</v>
      </c>
      <c r="C57" s="2">
        <v>8.3266639978645304E-3</v>
      </c>
      <c r="D57" s="2">
        <v>7.9107917064836535</v>
      </c>
      <c r="E57">
        <f>LN(D57/D57)</f>
        <v>0</v>
      </c>
      <c r="F57" s="2">
        <v>22.555791412060064</v>
      </c>
      <c r="G57">
        <f>LN($H$11/F57)</f>
        <v>0</v>
      </c>
    </row>
    <row r="58" spans="1:7" x14ac:dyDescent="0.25">
      <c r="A58" s="2">
        <v>23</v>
      </c>
      <c r="B58" s="2">
        <v>1.6066666666666665</v>
      </c>
      <c r="C58" s="2">
        <v>4.2158431343366248E-2</v>
      </c>
      <c r="D58" s="2">
        <v>6.5538664465873238</v>
      </c>
      <c r="E58">
        <f>LN(D57/D58)</f>
        <v>0.18817269340700224</v>
      </c>
      <c r="F58" s="2">
        <v>21.412521908010046</v>
      </c>
      <c r="G58">
        <f t="shared" ref="G58:G62" si="8">LN($H$11/F58)</f>
        <v>5.2015971552342305E-2</v>
      </c>
    </row>
    <row r="59" spans="1:7" x14ac:dyDescent="0.25">
      <c r="A59" s="2">
        <v>46</v>
      </c>
      <c r="B59" s="2">
        <v>7.8433333333333337</v>
      </c>
      <c r="C59" s="2">
        <v>0.35004761580866833</v>
      </c>
      <c r="D59" s="2">
        <v>4.6580161005415119</v>
      </c>
      <c r="E59">
        <f>LN(D57/D59)</f>
        <v>0.52963823809472088</v>
      </c>
      <c r="F59" s="2">
        <v>20.454484628866467</v>
      </c>
      <c r="G59">
        <f t="shared" si="8"/>
        <v>9.7789702641448761E-2</v>
      </c>
    </row>
    <row r="60" spans="1:7" x14ac:dyDescent="0.25">
      <c r="A60" s="2">
        <v>67</v>
      </c>
      <c r="B60" s="2">
        <v>9.7433333333333341</v>
      </c>
      <c r="C60" s="2">
        <v>0.15044378795195709</v>
      </c>
      <c r="D60" s="2">
        <v>3.6969933107462434</v>
      </c>
      <c r="E60">
        <f>LN(D57/D60)</f>
        <v>0.76070799550683688</v>
      </c>
      <c r="F60" s="2">
        <v>18.801821325375396</v>
      </c>
      <c r="G60">
        <f t="shared" si="8"/>
        <v>0.18203811419045021</v>
      </c>
    </row>
    <row r="61" spans="1:7" x14ac:dyDescent="0.25">
      <c r="A61" s="2">
        <v>112</v>
      </c>
      <c r="B61" s="2">
        <v>11.606666666666667</v>
      </c>
      <c r="C61" s="2">
        <v>1.5821925715074505</v>
      </c>
      <c r="D61" s="2">
        <v>2.6928523441345962</v>
      </c>
      <c r="E61">
        <f>LN(D57/D61)</f>
        <v>1.0776268832680787</v>
      </c>
      <c r="F61" s="2">
        <v>16.433257543460755</v>
      </c>
      <c r="G61">
        <f t="shared" si="8"/>
        <v>0.31668467793310745</v>
      </c>
    </row>
    <row r="62" spans="1:7" x14ac:dyDescent="0.25">
      <c r="A62" s="2">
        <v>120</v>
      </c>
      <c r="B62" s="2">
        <v>11.853333333333333</v>
      </c>
      <c r="C62" s="2">
        <v>2.1546538778498188</v>
      </c>
      <c r="D62" s="2">
        <v>2.4158535314047431</v>
      </c>
      <c r="E62">
        <f>LN(D57/D62)</f>
        <v>1.1861752122699469</v>
      </c>
      <c r="F62" s="2">
        <v>16.839278101463691</v>
      </c>
      <c r="G62">
        <f t="shared" si="8"/>
        <v>0.29227771853200102</v>
      </c>
    </row>
    <row r="64" spans="1:7" ht="15.75" x14ac:dyDescent="0.25">
      <c r="A64" s="4" t="s">
        <v>5</v>
      </c>
      <c r="B64" s="2"/>
      <c r="C64" s="2"/>
    </row>
    <row r="65" spans="1:7" x14ac:dyDescent="0.25">
      <c r="A65" s="2" t="s">
        <v>24</v>
      </c>
      <c r="B65" s="2" t="s">
        <v>60</v>
      </c>
      <c r="C65" s="2" t="s">
        <v>26</v>
      </c>
      <c r="D65" t="s">
        <v>58</v>
      </c>
      <c r="E65" t="s">
        <v>65</v>
      </c>
      <c r="F65" t="s">
        <v>46</v>
      </c>
      <c r="G65" t="s">
        <v>66</v>
      </c>
    </row>
    <row r="66" spans="1:7" x14ac:dyDescent="0.25">
      <c r="A66" s="2">
        <v>0</v>
      </c>
      <c r="B66" s="2">
        <v>6.3E-2</v>
      </c>
      <c r="C66" s="2">
        <v>7.0000000000000019E-3</v>
      </c>
      <c r="D66" s="2">
        <v>1.179751831581386</v>
      </c>
      <c r="E66">
        <f>LN(D66/D66)</f>
        <v>0</v>
      </c>
      <c r="F66" s="2">
        <v>29.543413386386245</v>
      </c>
      <c r="G66">
        <f>LN($J$11/F66)</f>
        <v>0</v>
      </c>
    </row>
    <row r="67" spans="1:7" x14ac:dyDescent="0.25">
      <c r="A67" s="2">
        <v>23</v>
      </c>
      <c r="B67" s="2">
        <v>1.4533333333333331</v>
      </c>
      <c r="C67" s="2">
        <v>6.7121779873103346E-2</v>
      </c>
      <c r="D67" s="2">
        <v>0.94259027596791478</v>
      </c>
      <c r="E67">
        <f>LN(D66/D67)</f>
        <v>0.22442768486627868</v>
      </c>
      <c r="F67" s="2">
        <v>28.996074321443796</v>
      </c>
      <c r="G67">
        <f t="shared" ref="G67:G71" si="9">LN($J$11/F67)</f>
        <v>1.8700369163718852E-2</v>
      </c>
    </row>
    <row r="68" spans="1:7" x14ac:dyDescent="0.25">
      <c r="A68" s="2">
        <v>46</v>
      </c>
      <c r="B68" s="2">
        <v>7.1000000000000005</v>
      </c>
      <c r="C68" s="2">
        <v>0.75345869163478352</v>
      </c>
      <c r="D68" s="2">
        <v>0.59405409318622771</v>
      </c>
      <c r="E68">
        <f>LN(D66/D68)</f>
        <v>0.68608900193535838</v>
      </c>
      <c r="F68" s="2">
        <v>26.945780635687555</v>
      </c>
      <c r="G68">
        <f t="shared" si="9"/>
        <v>9.2034099346429449E-2</v>
      </c>
    </row>
    <row r="69" spans="1:7" x14ac:dyDescent="0.25">
      <c r="A69" s="2">
        <v>67</v>
      </c>
      <c r="B69" s="2">
        <v>8.57</v>
      </c>
      <c r="C69" s="2">
        <v>1.0095048291117783</v>
      </c>
      <c r="D69" s="2">
        <v>0.41598094576202471</v>
      </c>
      <c r="E69">
        <f>LN(D66/D69)</f>
        <v>1.0424199273662484</v>
      </c>
      <c r="F69" s="2">
        <v>24.525105395291551</v>
      </c>
      <c r="G69">
        <f t="shared" si="9"/>
        <v>0.18616351885535118</v>
      </c>
    </row>
    <row r="70" spans="1:7" x14ac:dyDescent="0.25">
      <c r="A70" s="2">
        <v>112</v>
      </c>
      <c r="B70" s="2">
        <v>10.543333333333335</v>
      </c>
      <c r="C70" s="2">
        <v>1.8293805873391411</v>
      </c>
      <c r="D70" s="2">
        <v>0.33396084904294443</v>
      </c>
      <c r="E70">
        <f>LN(D66/D70)</f>
        <v>1.2620356154500452</v>
      </c>
      <c r="F70" s="2">
        <v>21.408566624034865</v>
      </c>
      <c r="G70">
        <f t="shared" si="9"/>
        <v>0.32206967030135153</v>
      </c>
    </row>
    <row r="71" spans="1:7" x14ac:dyDescent="0.25">
      <c r="A71" s="2">
        <v>120</v>
      </c>
      <c r="B71" s="2">
        <v>9.8633333333333333</v>
      </c>
      <c r="C71" s="2">
        <v>2.1882032203004709</v>
      </c>
      <c r="D71" s="2">
        <v>0.23103900616801321</v>
      </c>
      <c r="E71">
        <f>LN(D66/D71)</f>
        <v>1.630472828984735</v>
      </c>
      <c r="F71" s="2">
        <v>21.407595566292457</v>
      </c>
      <c r="G71">
        <f t="shared" si="9"/>
        <v>0.32211502970270378</v>
      </c>
    </row>
    <row r="74" spans="1:7" x14ac:dyDescent="0.25">
      <c r="A74" s="1" t="s">
        <v>47</v>
      </c>
      <c r="B74" s="1" t="s">
        <v>48</v>
      </c>
      <c r="C74" s="1" t="s">
        <v>53</v>
      </c>
      <c r="D74" s="1" t="s">
        <v>52</v>
      </c>
      <c r="E74" s="1" t="s">
        <v>54</v>
      </c>
      <c r="F74" s="1" t="s">
        <v>52</v>
      </c>
    </row>
    <row r="75" spans="1:7" x14ac:dyDescent="0.25">
      <c r="A75" s="1">
        <v>1</v>
      </c>
      <c r="B75" s="1" t="s">
        <v>37</v>
      </c>
      <c r="C75" s="7">
        <v>6.4999999999999997E-3</v>
      </c>
      <c r="D75" s="7">
        <v>0.99050000000000005</v>
      </c>
      <c r="E75" s="7" t="s">
        <v>55</v>
      </c>
      <c r="F75" s="7" t="s">
        <v>55</v>
      </c>
    </row>
    <row r="76" spans="1:7" x14ac:dyDescent="0.25">
      <c r="A76" s="1">
        <v>2</v>
      </c>
      <c r="B76" s="1" t="s">
        <v>49</v>
      </c>
      <c r="C76" s="7">
        <v>5.0000000000000001E-3</v>
      </c>
      <c r="D76" s="7">
        <v>0.99170000000000003</v>
      </c>
      <c r="E76" s="7">
        <v>3.3999999999999998E-3</v>
      </c>
      <c r="F76" s="7">
        <v>0.94340000000000002</v>
      </c>
    </row>
    <row r="77" spans="1:7" x14ac:dyDescent="0.25">
      <c r="A77" s="1">
        <v>3</v>
      </c>
      <c r="B77" s="1" t="s">
        <v>51</v>
      </c>
      <c r="C77" s="7">
        <v>5.8999999999999999E-3</v>
      </c>
      <c r="D77" s="7">
        <v>0.98809999999999998</v>
      </c>
      <c r="E77" s="7">
        <v>2.5999999999999999E-3</v>
      </c>
      <c r="F77" s="7">
        <v>0.94010000000000005</v>
      </c>
    </row>
    <row r="78" spans="1:7" x14ac:dyDescent="0.25">
      <c r="A78" s="1">
        <v>4</v>
      </c>
      <c r="B78" s="1" t="s">
        <v>50</v>
      </c>
      <c r="C78" s="7">
        <v>9.7999999999999997E-3</v>
      </c>
      <c r="D78" s="7">
        <v>0.98599999999999999</v>
      </c>
      <c r="E78" s="7">
        <v>2.7000000000000001E-3</v>
      </c>
      <c r="F78" s="7">
        <v>0.98160000000000003</v>
      </c>
    </row>
    <row r="79" spans="1:7" x14ac:dyDescent="0.25">
      <c r="A79" s="1">
        <v>5</v>
      </c>
      <c r="B79" s="1" t="s">
        <v>46</v>
      </c>
      <c r="C79" s="7">
        <v>1.2699999999999999E-2</v>
      </c>
      <c r="D79" s="7">
        <v>0.95699999999999996</v>
      </c>
      <c r="E79" s="7">
        <v>3.0000000000000001E-3</v>
      </c>
      <c r="F79" s="7">
        <v>0.98009999999999997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R. glutinis data</vt:lpstr>
      <vt:lpstr>R. minuta data</vt:lpstr>
      <vt:lpstr>R. min graphs</vt:lpstr>
      <vt:lpstr>R. min kinetics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Sargeant</dc:creator>
  <cp:lastModifiedBy>cc245</cp:lastModifiedBy>
  <cp:lastPrinted>2013-12-11T13:18:09Z</cp:lastPrinted>
  <dcterms:created xsi:type="dcterms:W3CDTF">2013-11-19T08:59:04Z</dcterms:created>
  <dcterms:modified xsi:type="dcterms:W3CDTF">2015-06-15T08:46:01Z</dcterms:modified>
</cp:coreProperties>
</file>